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mc:AlternateContent xmlns:mc="http://schemas.openxmlformats.org/markup-compatibility/2006">
    <mc:Choice Requires="x15">
      <x15ac:absPath xmlns:x15ac="http://schemas.microsoft.com/office/spreadsheetml/2010/11/ac" url="F:\Dung KHTC\A\Dorothy\Công ty Môi trường\Giá hộc rác số 7\5. Thẩm định giá\5. Thẩm định giá 19.01.2026\2. Gửi STC\"/>
    </mc:Choice>
  </mc:AlternateContent>
  <bookViews>
    <workbookView xWindow="6015" yWindow="120" windowWidth="12705" windowHeight="12645" tabRatio="735" firstSheet="11" activeTab="14"/>
  </bookViews>
  <sheets>
    <sheet name="I. Tong chi phi" sheetId="19" r:id="rId1"/>
    <sheet name="Bang 01. VL" sheetId="23" state="hidden" r:id="rId2"/>
    <sheet name="I.2 CP KH" sheetId="30" state="hidden" r:id="rId3"/>
    <sheet name="II.1 Vat tu" sheetId="1" r:id="rId4"/>
    <sheet name="01.01.a.Bao gia" sheetId="16" state="hidden" r:id="rId5"/>
    <sheet name="II.2 DCLD" sheetId="25" r:id="rId6"/>
    <sheet name="II.3 ĐG DC" sheetId="5" r:id="rId7"/>
    <sheet name="II.4 Vat lieu" sheetId="31" r:id="rId8"/>
    <sheet name="II.4.1. Giá đất" sheetId="39" r:id="rId9"/>
    <sheet name="II.4.2. Chi tiết giá đất" sheetId="40" r:id="rId10"/>
    <sheet name="II.5 NL" sheetId="24" r:id="rId11"/>
    <sheet name="II.6 ĐG NL" sheetId="7" r:id="rId12"/>
    <sheet name="II.7 NLIEU" sheetId="29" r:id="rId13"/>
    <sheet name="III. NC" sheetId="17" r:id="rId14"/>
    <sheet name="IV. ĐG NC" sheetId="2" r:id="rId15"/>
    <sheet name="V. May" sheetId="26" r:id="rId16"/>
    <sheet name="VI. ĐG May " sheetId="20" r:id="rId17"/>
    <sheet name="VII.1 Chi phí SXC" sheetId="21" r:id="rId18"/>
    <sheet name="SS" sheetId="28" state="hidden" r:id="rId19"/>
    <sheet name="VII.2 Chi phí sxc theo TT 17" sheetId="35" r:id="rId20"/>
    <sheet name="VIII.KL rác hoc 6 năm 2024" sheetId="33" state="hidden" r:id="rId21"/>
    <sheet name="VIII.KL rác hoc 7" sheetId="32" r:id="rId22"/>
    <sheet name="X. Lợi nhuận" sheetId="34" state="hidden" r:id="rId23"/>
    <sheet name="IX.KH máy" sheetId="36" r:id="rId24"/>
    <sheet name="X.DG KH may" sheetId="37" r:id="rId25"/>
    <sheet name="XI.Khau hao ts" sheetId="38" r:id="rId26"/>
    <sheet name="XII. Bang tinh KH" sheetId="27" r:id="rId27"/>
    <sheet name="Danh muc DM" sheetId="8" state="hidden" r:id="rId28"/>
    <sheet name="bang46" sheetId="10" state="hidden" r:id="rId29"/>
    <sheet name="bang47" sheetId="11" state="hidden" r:id="rId30"/>
    <sheet name="bang48" sheetId="12" state="hidden" r:id="rId31"/>
    <sheet name="bang49" sheetId="13" state="hidden" r:id="rId32"/>
    <sheet name="bang50" sheetId="14" state="hidden" r:id="rId33"/>
    <sheet name="bang51" sheetId="15" state="hidden" r:id="rId34"/>
  </sheets>
  <externalReferences>
    <externalReference r:id="rId35"/>
    <externalReference r:id="rId36"/>
    <externalReference r:id="rId37"/>
    <externalReference r:id="rId38"/>
    <externalReference r:id="rId39"/>
    <externalReference r:id="rId40"/>
    <externalReference r:id="rId41"/>
  </externalReferences>
  <definedNames>
    <definedName name="dieu_1_12" localSheetId="28">bang46!$B$1</definedName>
    <definedName name="dieu_1_15" localSheetId="27">'Danh muc DM'!$A$2</definedName>
    <definedName name="dieu_2_13" localSheetId="29">bang47!#REF!</definedName>
    <definedName name="dieu_3_12" localSheetId="30">bang48!$A$1</definedName>
    <definedName name="dieu_4_9" localSheetId="31">bang49!$A$1</definedName>
    <definedName name="dieu_5_9" localSheetId="32">bang50!$B$1</definedName>
    <definedName name="dieu_6_4" localSheetId="33">bang51!$B$1</definedName>
    <definedName name="muc_2_3" localSheetId="27">'Danh muc DM'!$A$1</definedName>
    <definedName name="muc_5_3" localSheetId="27">'Danh muc DM'!$A$1</definedName>
    <definedName name="_xlnm.Print_Area" localSheetId="3">'II.1 Vat tu'!$A$1:$E$10</definedName>
    <definedName name="_xlnm.Print_Area" localSheetId="7">'II.4 Vat lieu'!$A$1:$J$18</definedName>
    <definedName name="_xlnm.Print_Area" localSheetId="14">'IV. ĐG NC'!$A$2:$L$18</definedName>
    <definedName name="tvpllink_fdsadpmwfm" localSheetId="27">'Danh muc DM'!$A$8</definedName>
    <definedName name="tvpllink_fdsadpmwfm_1" localSheetId="27">'Danh muc DM'!$A$9</definedName>
    <definedName name="tvpllink_fdsadpmwfm_2" localSheetId="27">'Danh muc DM'!$A$10</definedName>
    <definedName name="tvpllink_fdsadpmwfm_3" localSheetId="27">'Danh muc DM'!$A$11</definedName>
    <definedName name="tvpllink_fdsadpmwfm_4" localSheetId="27">'Danh muc DM'!$A$12</definedName>
    <definedName name="tvpllink_fdsadpmwfm_5" localSheetId="27">'Danh muc DM'!$A$13</definedName>
    <definedName name="tvpllink_fdsadpmwfm_6" localSheetId="27">'Danh muc DM'!$A$14</definedName>
    <definedName name="tvpllink_fdsadpmwfm_7" localSheetId="27">'Danh muc DM'!#REF!</definedName>
    <definedName name="tvpllink_fdsadpmwfm_8" localSheetId="27">'Danh muc DM'!#REF!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1" l="1"/>
  <c r="G14" i="39"/>
  <c r="G13" i="39"/>
  <c r="G12" i="39"/>
  <c r="G11" i="39"/>
  <c r="G10" i="39"/>
  <c r="G9" i="39"/>
  <c r="G8" i="39"/>
  <c r="G7" i="39"/>
  <c r="G6" i="39"/>
  <c r="J102" i="40"/>
  <c r="J93" i="40"/>
  <c r="J91" i="40"/>
  <c r="J92" i="40"/>
  <c r="J89" i="40"/>
  <c r="J80" i="40"/>
  <c r="J78" i="40"/>
  <c r="J79" i="40"/>
  <c r="J76" i="40"/>
  <c r="J67" i="40"/>
  <c r="J65" i="40"/>
  <c r="J66" i="40"/>
  <c r="J47" i="40"/>
  <c r="J38" i="40"/>
  <c r="J36" i="40"/>
  <c r="J37" i="40"/>
  <c r="J24" i="40"/>
  <c r="J30" i="40"/>
  <c r="J23" i="40"/>
  <c r="J25" i="40" s="1"/>
  <c r="J34" i="40" s="1"/>
  <c r="E10" i="39"/>
  <c r="E11" i="39"/>
  <c r="E12" i="39"/>
  <c r="E7" i="39"/>
  <c r="E8" i="39"/>
  <c r="D7" i="39"/>
  <c r="D8" i="39"/>
  <c r="D9" i="39"/>
  <c r="D10" i="39"/>
  <c r="D11" i="39"/>
  <c r="D12" i="39"/>
  <c r="J17" i="40"/>
  <c r="B6" i="40" l="1"/>
  <c r="E8" i="40"/>
  <c r="E10" i="40"/>
  <c r="E11" i="40"/>
  <c r="E24" i="40"/>
  <c r="E50" i="40"/>
  <c r="E52" i="40"/>
  <c r="E53" i="40"/>
  <c r="J53" i="40" s="1"/>
  <c r="E66" i="40"/>
  <c r="F92" i="40"/>
  <c r="F88" i="40"/>
  <c r="C88" i="40"/>
  <c r="F86" i="40"/>
  <c r="C86" i="40"/>
  <c r="F84" i="40"/>
  <c r="C84" i="40"/>
  <c r="F83" i="40"/>
  <c r="C83" i="40"/>
  <c r="F82" i="40"/>
  <c r="C82" i="40"/>
  <c r="D81" i="40"/>
  <c r="G79" i="40"/>
  <c r="G92" i="40" s="1"/>
  <c r="F79" i="40"/>
  <c r="D79" i="40"/>
  <c r="C79" i="40"/>
  <c r="B79" i="40"/>
  <c r="D77" i="40"/>
  <c r="C77" i="40"/>
  <c r="B77" i="40"/>
  <c r="A77" i="40"/>
  <c r="F75" i="40"/>
  <c r="C75" i="40"/>
  <c r="F73" i="40"/>
  <c r="C73" i="40"/>
  <c r="F71" i="40"/>
  <c r="C71" i="40"/>
  <c r="F70" i="40"/>
  <c r="C70" i="40"/>
  <c r="F69" i="40"/>
  <c r="C69" i="40"/>
  <c r="D68" i="40"/>
  <c r="G66" i="40"/>
  <c r="F66" i="40"/>
  <c r="D66" i="40"/>
  <c r="C66" i="40"/>
  <c r="B66" i="40"/>
  <c r="D64" i="40"/>
  <c r="C64" i="40"/>
  <c r="B64" i="40"/>
  <c r="A64" i="40"/>
  <c r="F62" i="40"/>
  <c r="C62" i="40"/>
  <c r="F60" i="40"/>
  <c r="C60" i="40"/>
  <c r="F58" i="40"/>
  <c r="C58" i="40"/>
  <c r="F57" i="40"/>
  <c r="C57" i="40"/>
  <c r="F56" i="40"/>
  <c r="C56" i="40"/>
  <c r="D55" i="40"/>
  <c r="G53" i="40"/>
  <c r="F53" i="40"/>
  <c r="D53" i="40"/>
  <c r="C53" i="40"/>
  <c r="B53" i="40"/>
  <c r="G52" i="40"/>
  <c r="F52" i="40"/>
  <c r="D52" i="40"/>
  <c r="C52" i="40"/>
  <c r="B52" i="40"/>
  <c r="G50" i="40"/>
  <c r="F50" i="40"/>
  <c r="D50" i="40"/>
  <c r="C50" i="40"/>
  <c r="B50" i="40"/>
  <c r="D48" i="40"/>
  <c r="C48" i="40"/>
  <c r="B48" i="40"/>
  <c r="A48" i="40"/>
  <c r="F46" i="40"/>
  <c r="C46" i="40"/>
  <c r="F44" i="40"/>
  <c r="C44" i="40"/>
  <c r="F42" i="40"/>
  <c r="C42" i="40"/>
  <c r="F41" i="40"/>
  <c r="C41" i="40"/>
  <c r="F40" i="40"/>
  <c r="C40" i="40"/>
  <c r="D39" i="40"/>
  <c r="G37" i="40"/>
  <c r="F37" i="40"/>
  <c r="D37" i="40"/>
  <c r="C37" i="40"/>
  <c r="B37" i="40"/>
  <c r="D35" i="40"/>
  <c r="C35" i="40"/>
  <c r="B35" i="40"/>
  <c r="A35" i="40"/>
  <c r="F33" i="40"/>
  <c r="C33" i="40"/>
  <c r="F31" i="40"/>
  <c r="C31" i="40"/>
  <c r="F29" i="40"/>
  <c r="C29" i="40"/>
  <c r="F28" i="40"/>
  <c r="C28" i="40"/>
  <c r="F27" i="40"/>
  <c r="C27" i="40"/>
  <c r="D26" i="40"/>
  <c r="G24" i="40"/>
  <c r="F24" i="40"/>
  <c r="D24" i="40"/>
  <c r="C24" i="40"/>
  <c r="B24" i="40"/>
  <c r="D22" i="40"/>
  <c r="C22" i="40"/>
  <c r="B22" i="40"/>
  <c r="A22" i="40"/>
  <c r="F20" i="40"/>
  <c r="C20" i="40"/>
  <c r="F18" i="40"/>
  <c r="C18" i="40"/>
  <c r="F16" i="40"/>
  <c r="C16" i="40"/>
  <c r="F15" i="40"/>
  <c r="C15" i="40"/>
  <c r="F14" i="40"/>
  <c r="C14" i="40"/>
  <c r="D13" i="40"/>
  <c r="G11" i="40"/>
  <c r="F11" i="40"/>
  <c r="D11" i="40"/>
  <c r="C11" i="40"/>
  <c r="B11" i="40"/>
  <c r="G10" i="40"/>
  <c r="F10" i="40"/>
  <c r="D10" i="40"/>
  <c r="C10" i="40"/>
  <c r="B10" i="40"/>
  <c r="G8" i="40"/>
  <c r="F8" i="40"/>
  <c r="D8" i="40"/>
  <c r="C8" i="40"/>
  <c r="B8" i="40"/>
  <c r="D6" i="40"/>
  <c r="C6" i="40"/>
  <c r="A6" i="40"/>
  <c r="A9" i="39"/>
  <c r="A7" i="39"/>
  <c r="A8" i="39"/>
  <c r="A11" i="39"/>
  <c r="A10" i="39"/>
  <c r="J50" i="40" l="1"/>
  <c r="J49" i="40" s="1"/>
  <c r="J54" i="40" s="1"/>
  <c r="J63" i="40" s="1"/>
  <c r="J52" i="40"/>
  <c r="J51" i="40" s="1"/>
  <c r="J11" i="40"/>
  <c r="J8" i="40"/>
  <c r="J7" i="40" s="1"/>
  <c r="J10" i="40"/>
  <c r="J9" i="40" s="1"/>
  <c r="I10" i="40"/>
  <c r="I52" i="40"/>
  <c r="I51" i="40" s="1"/>
  <c r="I8" i="40"/>
  <c r="I7" i="40" s="1"/>
  <c r="I50" i="40"/>
  <c r="I49" i="40" s="1"/>
  <c r="I79" i="40"/>
  <c r="I78" i="40" s="1"/>
  <c r="I80" i="40" s="1"/>
  <c r="I83" i="40" s="1"/>
  <c r="I37" i="40"/>
  <c r="I36" i="40" s="1"/>
  <c r="I38" i="40" s="1"/>
  <c r="I41" i="40" s="1"/>
  <c r="I24" i="40"/>
  <c r="I23" i="40" s="1"/>
  <c r="I25" i="40" s="1"/>
  <c r="I29" i="40" s="1"/>
  <c r="I53" i="40"/>
  <c r="I11" i="40"/>
  <c r="I66" i="40"/>
  <c r="I65" i="40" s="1"/>
  <c r="I67" i="40" s="1"/>
  <c r="I71" i="40" s="1"/>
  <c r="I92" i="40"/>
  <c r="I91" i="40" s="1"/>
  <c r="I93" i="40" s="1"/>
  <c r="F12" i="39"/>
  <c r="C12" i="39"/>
  <c r="B12" i="39"/>
  <c r="F11" i="39"/>
  <c r="C11" i="39"/>
  <c r="B11" i="39"/>
  <c r="F10" i="39"/>
  <c r="C10" i="39"/>
  <c r="B10" i="39"/>
  <c r="F9" i="39"/>
  <c r="E9" i="39"/>
  <c r="C9" i="39"/>
  <c r="B9" i="39"/>
  <c r="F8" i="39"/>
  <c r="C8" i="39"/>
  <c r="B8" i="39"/>
  <c r="F7" i="39"/>
  <c r="C7" i="39"/>
  <c r="B7" i="39"/>
  <c r="F6" i="39"/>
  <c r="E6" i="39"/>
  <c r="D6" i="39"/>
  <c r="C6" i="39"/>
  <c r="B6" i="39"/>
  <c r="A6" i="39"/>
  <c r="I9" i="40" l="1"/>
  <c r="I12" i="40" s="1"/>
  <c r="J12" i="40"/>
  <c r="J21" i="40" s="1"/>
  <c r="I82" i="40"/>
  <c r="I84" i="40"/>
  <c r="I69" i="40"/>
  <c r="I54" i="40"/>
  <c r="I57" i="40" s="1"/>
  <c r="I70" i="40"/>
  <c r="I42" i="40"/>
  <c r="I40" i="40"/>
  <c r="I27" i="40"/>
  <c r="I28" i="40"/>
  <c r="I97" i="40"/>
  <c r="I96" i="40"/>
  <c r="I95" i="40"/>
  <c r="I6" i="39"/>
  <c r="I8" i="39"/>
  <c r="I7" i="39"/>
  <c r="I12" i="39"/>
  <c r="I11" i="39"/>
  <c r="I10" i="39"/>
  <c r="I9" i="39"/>
  <c r="H11" i="39"/>
  <c r="H12" i="39"/>
  <c r="H10" i="39"/>
  <c r="H9" i="39"/>
  <c r="E13" i="39"/>
  <c r="H7" i="39"/>
  <c r="H8" i="39"/>
  <c r="H6" i="39"/>
  <c r="J64" i="27"/>
  <c r="G17" i="37"/>
  <c r="G10" i="37"/>
  <c r="K9" i="2"/>
  <c r="N9" i="2" s="1"/>
  <c r="K10" i="2"/>
  <c r="N10" i="2" s="1"/>
  <c r="K13" i="2"/>
  <c r="K14" i="2"/>
  <c r="K15" i="2"/>
  <c r="K16" i="2"/>
  <c r="N16" i="2" s="1"/>
  <c r="K17" i="2"/>
  <c r="N17" i="2" s="1"/>
  <c r="K18" i="2"/>
  <c r="K19" i="2"/>
  <c r="K20" i="2"/>
  <c r="K8" i="2"/>
  <c r="I20" i="2"/>
  <c r="N20" i="2" s="1"/>
  <c r="I19" i="2"/>
  <c r="N19" i="2" s="1"/>
  <c r="I18" i="2"/>
  <c r="N18" i="2" s="1"/>
  <c r="I17" i="2"/>
  <c r="I16" i="2"/>
  <c r="I15" i="2"/>
  <c r="N15" i="2" s="1"/>
  <c r="I14" i="2"/>
  <c r="N14" i="2" s="1"/>
  <c r="I13" i="2"/>
  <c r="N13" i="2" s="1"/>
  <c r="I11" i="2"/>
  <c r="I10" i="2"/>
  <c r="I9" i="2"/>
  <c r="I8" i="2"/>
  <c r="N8" i="2" s="1"/>
  <c r="I13" i="39" l="1"/>
  <c r="I16" i="40"/>
  <c r="I14" i="40"/>
  <c r="I15" i="40"/>
  <c r="I85" i="40"/>
  <c r="I86" i="40" s="1"/>
  <c r="I87" i="40" s="1"/>
  <c r="I88" i="40" s="1"/>
  <c r="I89" i="40" s="1"/>
  <c r="I43" i="40"/>
  <c r="I44" i="40" s="1"/>
  <c r="I45" i="40" s="1"/>
  <c r="I72" i="40"/>
  <c r="I73" i="40" s="1"/>
  <c r="I74" i="40" s="1"/>
  <c r="I56" i="40"/>
  <c r="I58" i="40"/>
  <c r="I30" i="40"/>
  <c r="I31" i="40" s="1"/>
  <c r="I32" i="40" s="1"/>
  <c r="I98" i="40"/>
  <c r="H13" i="39"/>
  <c r="F13" i="39" s="1"/>
  <c r="F14" i="39" s="1"/>
  <c r="G11" i="31"/>
  <c r="K7" i="5"/>
  <c r="K8" i="5"/>
  <c r="K9" i="5"/>
  <c r="K10" i="5"/>
  <c r="K11" i="5"/>
  <c r="K12" i="5"/>
  <c r="K13" i="5"/>
  <c r="K14" i="5"/>
  <c r="K15" i="5"/>
  <c r="K16" i="5"/>
  <c r="K17" i="5"/>
  <c r="K18" i="5"/>
  <c r="K19" i="5"/>
  <c r="K20" i="5"/>
  <c r="K21" i="5"/>
  <c r="J7" i="5"/>
  <c r="J8" i="5"/>
  <c r="J9" i="5"/>
  <c r="J10" i="5"/>
  <c r="J11" i="5"/>
  <c r="J12" i="5"/>
  <c r="J13" i="5"/>
  <c r="J14" i="5"/>
  <c r="J15" i="5"/>
  <c r="J16" i="5"/>
  <c r="J17" i="5"/>
  <c r="J18" i="5"/>
  <c r="J19" i="5"/>
  <c r="J20" i="5"/>
  <c r="J21" i="5"/>
  <c r="I59" i="40" l="1"/>
  <c r="I17" i="40"/>
  <c r="I18" i="40" s="1"/>
  <c r="I19" i="40" s="1"/>
  <c r="I20" i="40" s="1"/>
  <c r="I21" i="40" s="1"/>
  <c r="I99" i="40"/>
  <c r="I100" i="40" s="1"/>
  <c r="I33" i="40"/>
  <c r="I34" i="40" s="1"/>
  <c r="I46" i="40"/>
  <c r="I47" i="40" s="1"/>
  <c r="I75" i="40"/>
  <c r="I76" i="40" s="1"/>
  <c r="I60" i="40"/>
  <c r="I61" i="40" s="1"/>
  <c r="F9" i="31"/>
  <c r="F7" i="29"/>
  <c r="H7" i="29" s="1"/>
  <c r="F6" i="29"/>
  <c r="H6" i="29" s="1"/>
  <c r="G6" i="29"/>
  <c r="G7" i="29"/>
  <c r="I11" i="27"/>
  <c r="I12" i="27"/>
  <c r="I13" i="27"/>
  <c r="I14" i="27"/>
  <c r="I15" i="27"/>
  <c r="I10" i="27"/>
  <c r="I61" i="27"/>
  <c r="I60" i="27"/>
  <c r="I40" i="27"/>
  <c r="I28" i="27"/>
  <c r="I29" i="27"/>
  <c r="I30" i="27"/>
  <c r="I31" i="27"/>
  <c r="I32" i="27"/>
  <c r="I33" i="27"/>
  <c r="I34" i="27"/>
  <c r="I35" i="27"/>
  <c r="I36" i="27"/>
  <c r="I37" i="27"/>
  <c r="I38" i="27"/>
  <c r="I27" i="27"/>
  <c r="I25" i="27"/>
  <c r="I21" i="27"/>
  <c r="I22" i="27"/>
  <c r="I23" i="27"/>
  <c r="I20" i="27"/>
  <c r="I18" i="27"/>
  <c r="I17" i="27"/>
  <c r="I10" i="20"/>
  <c r="I38" i="20"/>
  <c r="I101" i="40" l="1"/>
  <c r="I102" i="40" s="1"/>
  <c r="I62" i="40"/>
  <c r="I63" i="40" s="1"/>
  <c r="I6" i="20"/>
  <c r="C8" i="1"/>
  <c r="G13" i="24"/>
  <c r="G9" i="24"/>
  <c r="G10" i="24"/>
  <c r="G11" i="24"/>
  <c r="G12" i="24"/>
  <c r="G7" i="24"/>
  <c r="D7" i="31"/>
  <c r="H21" i="5"/>
  <c r="H20" i="5"/>
  <c r="H19" i="5"/>
  <c r="H18" i="5"/>
  <c r="H8" i="29" l="1"/>
  <c r="C9" i="1" s="1"/>
  <c r="I15" i="37" l="1"/>
  <c r="I16" i="37" s="1"/>
  <c r="H15" i="37"/>
  <c r="H16" i="37" s="1"/>
  <c r="J11" i="27" l="1"/>
  <c r="J12" i="27"/>
  <c r="J13" i="27"/>
  <c r="J14" i="27"/>
  <c r="J15" i="27"/>
  <c r="J10" i="27"/>
  <c r="J18" i="27"/>
  <c r="J17" i="27"/>
  <c r="H23" i="27"/>
  <c r="J23" i="27" s="1"/>
  <c r="J21" i="27"/>
  <c r="J22" i="27"/>
  <c r="J20" i="27"/>
  <c r="J35" i="27"/>
  <c r="J34" i="27"/>
  <c r="J28" i="27"/>
  <c r="J29" i="27"/>
  <c r="J30" i="27"/>
  <c r="J31" i="27"/>
  <c r="J32" i="27"/>
  <c r="J33" i="27"/>
  <c r="J36" i="27"/>
  <c r="J37" i="27"/>
  <c r="J38" i="27"/>
  <c r="J27" i="27"/>
  <c r="J25" i="27"/>
  <c r="J61" i="27"/>
  <c r="J60" i="27"/>
  <c r="J42" i="27"/>
  <c r="J43" i="27"/>
  <c r="J44" i="27"/>
  <c r="J45" i="27"/>
  <c r="J46" i="27"/>
  <c r="J47" i="27"/>
  <c r="J48" i="27"/>
  <c r="J49" i="27"/>
  <c r="J50" i="27"/>
  <c r="J51" i="27"/>
  <c r="J52" i="27"/>
  <c r="J53" i="27"/>
  <c r="J54" i="27"/>
  <c r="J55" i="27"/>
  <c r="J56" i="27"/>
  <c r="J57" i="27"/>
  <c r="J58" i="27"/>
  <c r="J59" i="27"/>
  <c r="J41" i="27"/>
  <c r="H40" i="27"/>
  <c r="H39" i="27" s="1"/>
  <c r="H16" i="27"/>
  <c r="H9" i="27"/>
  <c r="H8" i="37"/>
  <c r="H9" i="37" s="1"/>
  <c r="H19" i="27" l="1"/>
  <c r="H24" i="27"/>
  <c r="H8" i="27" s="1"/>
  <c r="H62" i="27" s="1"/>
  <c r="J40" i="27"/>
  <c r="J39" i="27" s="1"/>
  <c r="H12" i="37" l="1"/>
  <c r="F7" i="26" s="1"/>
  <c r="I18" i="37"/>
  <c r="H19" i="37"/>
  <c r="F8" i="26" s="1"/>
  <c r="B4" i="36"/>
  <c r="J63" i="27" l="1"/>
  <c r="G9" i="27"/>
  <c r="G16" i="27"/>
  <c r="G19" i="27"/>
  <c r="G24" i="27"/>
  <c r="F21" i="26"/>
  <c r="F20" i="26"/>
  <c r="F19" i="26"/>
  <c r="F18" i="26"/>
  <c r="F17" i="26"/>
  <c r="F16" i="26"/>
  <c r="F15" i="26"/>
  <c r="F14" i="26"/>
  <c r="F13" i="26"/>
  <c r="F12" i="26"/>
  <c r="F11" i="26"/>
  <c r="F10" i="26"/>
  <c r="I50" i="20"/>
  <c r="G21" i="26" s="1"/>
  <c r="I46" i="20"/>
  <c r="G20" i="26" s="1"/>
  <c r="I42" i="20"/>
  <c r="G19" i="26" s="1"/>
  <c r="G18" i="26"/>
  <c r="I34" i="20"/>
  <c r="G17" i="26" s="1"/>
  <c r="I30" i="20"/>
  <c r="G16" i="26" s="1"/>
  <c r="I26" i="20"/>
  <c r="G15" i="26" s="1"/>
  <c r="I22" i="20"/>
  <c r="G14" i="26" s="1"/>
  <c r="I18" i="20"/>
  <c r="G13" i="26" s="1"/>
  <c r="I14" i="20"/>
  <c r="G12" i="26" s="1"/>
  <c r="G11" i="26"/>
  <c r="G10" i="26"/>
  <c r="I19" i="27" l="1"/>
  <c r="G8" i="27"/>
  <c r="J19" i="27"/>
  <c r="J24" i="27"/>
  <c r="I9" i="27"/>
  <c r="J16" i="27"/>
  <c r="J9" i="27"/>
  <c r="I16" i="27"/>
  <c r="I24" i="27"/>
  <c r="H8" i="26"/>
  <c r="H7" i="26"/>
  <c r="H6" i="26" s="1"/>
  <c r="I8" i="27" l="1"/>
  <c r="G62" i="27"/>
  <c r="I39" i="27"/>
  <c r="I62" i="27" l="1"/>
  <c r="I64" i="27" s="1"/>
  <c r="J8" i="27"/>
  <c r="E6" i="38" l="1"/>
  <c r="F22" i="19"/>
  <c r="J62" i="27"/>
  <c r="E7" i="35"/>
  <c r="K7" i="35" s="1"/>
  <c r="C7" i="35"/>
  <c r="C4" i="35"/>
  <c r="J7" i="35"/>
  <c r="K6" i="35"/>
  <c r="J6" i="35"/>
  <c r="L6" i="35" s="1"/>
  <c r="M6" i="35" s="1"/>
  <c r="L7" i="35" l="1"/>
  <c r="M7" i="35" s="1"/>
  <c r="M8" i="35" s="1"/>
  <c r="M9" i="35" s="1"/>
  <c r="G11" i="21" s="1"/>
  <c r="G11" i="19" s="1"/>
  <c r="G22" i="19"/>
  <c r="F6" i="38"/>
  <c r="D5" i="34" l="1"/>
  <c r="D7" i="34" s="1"/>
  <c r="E17" i="33" l="1"/>
  <c r="C4" i="33"/>
  <c r="D9" i="21"/>
  <c r="E14" i="32"/>
  <c r="D14" i="32"/>
  <c r="I17" i="31"/>
  <c r="F17" i="31"/>
  <c r="H17" i="31"/>
  <c r="I16" i="31"/>
  <c r="F16" i="31"/>
  <c r="H16" i="31" s="1"/>
  <c r="I15" i="31"/>
  <c r="F15" i="31"/>
  <c r="H15" i="31"/>
  <c r="I14" i="31"/>
  <c r="F14" i="31"/>
  <c r="H14" i="31"/>
  <c r="I13" i="31"/>
  <c r="F13" i="31"/>
  <c r="H13" i="31" s="1"/>
  <c r="G12" i="31"/>
  <c r="I12" i="31" s="1"/>
  <c r="F12" i="31"/>
  <c r="H12" i="31"/>
  <c r="F11" i="31"/>
  <c r="I11" i="31" s="1"/>
  <c r="H11" i="31"/>
  <c r="I10" i="31"/>
  <c r="G10" i="31"/>
  <c r="F10" i="31"/>
  <c r="H10" i="31"/>
  <c r="I9" i="31"/>
  <c r="I7" i="31"/>
  <c r="H7" i="31"/>
  <c r="F16" i="30"/>
  <c r="F10" i="30"/>
  <c r="I18" i="31" l="1"/>
  <c r="D7" i="1" s="1"/>
  <c r="E7" i="29"/>
  <c r="I7" i="29" s="1"/>
  <c r="E6" i="29"/>
  <c r="I6" i="29" s="1"/>
  <c r="M17" i="2"/>
  <c r="H16" i="17" s="1"/>
  <c r="J20" i="2"/>
  <c r="J19" i="2"/>
  <c r="J18" i="2"/>
  <c r="M18" i="2" s="1"/>
  <c r="H17" i="17" s="1"/>
  <c r="J17" i="2"/>
  <c r="I16" i="17" s="1"/>
  <c r="K16" i="17" s="1"/>
  <c r="J16" i="2"/>
  <c r="I15" i="17" s="1"/>
  <c r="K15" i="17" s="1"/>
  <c r="J15" i="2"/>
  <c r="I14" i="17" s="1"/>
  <c r="K14" i="17" s="1"/>
  <c r="J14" i="2"/>
  <c r="J13" i="2"/>
  <c r="G11" i="2"/>
  <c r="J10" i="2"/>
  <c r="I9" i="17" s="1"/>
  <c r="K9" i="17" s="1"/>
  <c r="J9" i="2"/>
  <c r="J8" i="2"/>
  <c r="N11" i="2" l="1"/>
  <c r="K11" i="2"/>
  <c r="I18" i="17"/>
  <c r="K18" i="17" s="1"/>
  <c r="I13" i="17"/>
  <c r="K13" i="17" s="1"/>
  <c r="I12" i="17"/>
  <c r="K12" i="17" s="1"/>
  <c r="I8" i="17"/>
  <c r="K8" i="17" s="1"/>
  <c r="M16" i="2"/>
  <c r="H15" i="17" s="1"/>
  <c r="I19" i="17"/>
  <c r="K19" i="17" s="1"/>
  <c r="M9" i="2"/>
  <c r="H8" i="17" s="1"/>
  <c r="I17" i="17"/>
  <c r="K17" i="17" s="1"/>
  <c r="I7" i="17"/>
  <c r="K7" i="17" s="1"/>
  <c r="J11" i="2"/>
  <c r="M11" i="2" s="1"/>
  <c r="H10" i="17" s="1"/>
  <c r="M10" i="2"/>
  <c r="H9" i="17" s="1"/>
  <c r="M8" i="2"/>
  <c r="H7" i="17" s="1"/>
  <c r="M15" i="2"/>
  <c r="H14" i="17" s="1"/>
  <c r="M20" i="2"/>
  <c r="H19" i="17" s="1"/>
  <c r="M14" i="2"/>
  <c r="H13" i="17" s="1"/>
  <c r="M19" i="2"/>
  <c r="H18" i="17" s="1"/>
  <c r="M13" i="2"/>
  <c r="H12" i="17" s="1"/>
  <c r="I8" i="29"/>
  <c r="D9" i="1" l="1"/>
  <c r="I10" i="17" l="1"/>
  <c r="K10" i="17" s="1"/>
  <c r="K20" i="17" s="1"/>
  <c r="G9" i="19" s="1"/>
  <c r="G7" i="5"/>
  <c r="G8" i="5"/>
  <c r="G9" i="5"/>
  <c r="G10" i="5"/>
  <c r="G11" i="5"/>
  <c r="G12" i="5"/>
  <c r="G13" i="5"/>
  <c r="G14" i="5"/>
  <c r="G15" i="5"/>
  <c r="G16" i="5"/>
  <c r="G17" i="5"/>
  <c r="G18" i="5"/>
  <c r="G19" i="5"/>
  <c r="G20" i="5"/>
  <c r="G21" i="5"/>
  <c r="G6" i="5"/>
  <c r="H15" i="5"/>
  <c r="H16" i="5"/>
  <c r="I16" i="5" s="1"/>
  <c r="H6" i="5"/>
  <c r="I6" i="5" s="1"/>
  <c r="H7" i="5"/>
  <c r="I7" i="5" s="1"/>
  <c r="H9" i="5"/>
  <c r="I9" i="5" s="1"/>
  <c r="H11" i="5"/>
  <c r="I11" i="5" s="1"/>
  <c r="H14" i="5"/>
  <c r="I14" i="5" s="1"/>
  <c r="H8" i="5"/>
  <c r="I8" i="5" s="1"/>
  <c r="H12" i="5"/>
  <c r="I12" i="5" s="1"/>
  <c r="H13" i="5"/>
  <c r="I13" i="5" s="1"/>
  <c r="H17" i="5"/>
  <c r="K6" i="5" l="1"/>
  <c r="G67" i="25"/>
  <c r="I67" i="25" s="1"/>
  <c r="G31" i="25"/>
  <c r="I31" i="25" s="1"/>
  <c r="G136" i="25"/>
  <c r="I136" i="25" s="1"/>
  <c r="G116" i="25"/>
  <c r="I116" i="25" s="1"/>
  <c r="G96" i="25"/>
  <c r="I96" i="25" s="1"/>
  <c r="G76" i="25"/>
  <c r="I76" i="25" s="1"/>
  <c r="G48" i="25"/>
  <c r="I48" i="25" s="1"/>
  <c r="G21" i="25"/>
  <c r="I21" i="25" s="1"/>
  <c r="G126" i="25"/>
  <c r="I126" i="25" s="1"/>
  <c r="G86" i="25"/>
  <c r="I86" i="25" s="1"/>
  <c r="G106" i="25"/>
  <c r="I106" i="25" s="1"/>
  <c r="G59" i="25"/>
  <c r="I59" i="25" s="1"/>
  <c r="G11" i="25"/>
  <c r="I11" i="25" s="1"/>
  <c r="G38" i="25"/>
  <c r="I38" i="25" s="1"/>
  <c r="G33" i="25"/>
  <c r="I33" i="25" s="1"/>
  <c r="G71" i="25"/>
  <c r="I71" i="25" s="1"/>
  <c r="G68" i="25"/>
  <c r="I68" i="25" s="1"/>
  <c r="G30" i="25"/>
  <c r="I30" i="25" s="1"/>
  <c r="G129" i="25"/>
  <c r="I129" i="25" s="1"/>
  <c r="G109" i="25"/>
  <c r="I109" i="25" s="1"/>
  <c r="G89" i="25"/>
  <c r="I89" i="25" s="1"/>
  <c r="G62" i="25"/>
  <c r="I62" i="25" s="1"/>
  <c r="G41" i="25"/>
  <c r="I41" i="25" s="1"/>
  <c r="G119" i="25"/>
  <c r="I119" i="25" s="1"/>
  <c r="G79" i="25"/>
  <c r="I79" i="25" s="1"/>
  <c r="G24" i="25"/>
  <c r="I24" i="25" s="1"/>
  <c r="G51" i="25"/>
  <c r="I51" i="25" s="1"/>
  <c r="G139" i="25"/>
  <c r="I139" i="25" s="1"/>
  <c r="G99" i="25"/>
  <c r="I99" i="25" s="1"/>
  <c r="G14" i="25"/>
  <c r="I14" i="25" s="1"/>
  <c r="G29" i="25"/>
  <c r="I29" i="25" s="1"/>
  <c r="G142" i="25"/>
  <c r="I142" i="25" s="1"/>
  <c r="G122" i="25"/>
  <c r="I122" i="25" s="1"/>
  <c r="G102" i="25"/>
  <c r="I102" i="25" s="1"/>
  <c r="G82" i="25"/>
  <c r="I82" i="25" s="1"/>
  <c r="G54" i="25"/>
  <c r="I54" i="25" s="1"/>
  <c r="G27" i="25"/>
  <c r="I27" i="25" s="1"/>
  <c r="G112" i="25"/>
  <c r="I112" i="25" s="1"/>
  <c r="G65" i="25"/>
  <c r="I65" i="25" s="1"/>
  <c r="G17" i="25"/>
  <c r="I17" i="25" s="1"/>
  <c r="G44" i="25"/>
  <c r="I44" i="25" s="1"/>
  <c r="G132" i="25"/>
  <c r="I132" i="25" s="1"/>
  <c r="G92" i="25"/>
  <c r="I92" i="25" s="1"/>
  <c r="G34" i="25"/>
  <c r="I34" i="25" s="1"/>
  <c r="G72" i="25"/>
  <c r="I72" i="25" s="1"/>
  <c r="G66" i="25"/>
  <c r="I66" i="25" s="1"/>
  <c r="G28" i="25"/>
  <c r="I28" i="25" s="1"/>
  <c r="G32" i="25"/>
  <c r="I32" i="25" s="1"/>
  <c r="G70" i="25"/>
  <c r="I70" i="25" s="1"/>
  <c r="G9" i="25"/>
  <c r="I9" i="25" s="1"/>
  <c r="G134" i="25"/>
  <c r="I134" i="25" s="1"/>
  <c r="G114" i="25"/>
  <c r="I114" i="25" s="1"/>
  <c r="G94" i="25"/>
  <c r="I94" i="25" s="1"/>
  <c r="G74" i="25"/>
  <c r="I74" i="25" s="1"/>
  <c r="G46" i="25"/>
  <c r="I46" i="25" s="1"/>
  <c r="G57" i="25"/>
  <c r="I57" i="25" s="1"/>
  <c r="G104" i="25"/>
  <c r="I104" i="25" s="1"/>
  <c r="G19" i="25"/>
  <c r="I19" i="25" s="1"/>
  <c r="G36" i="25"/>
  <c r="I36" i="25" s="1"/>
  <c r="G124" i="25"/>
  <c r="I124" i="25" s="1"/>
  <c r="G84" i="25"/>
  <c r="I84" i="25" s="1"/>
  <c r="E6" i="23"/>
  <c r="E7" i="23" s="1"/>
  <c r="E8" i="23" s="1"/>
  <c r="E9" i="23" s="1"/>
  <c r="E10" i="23" s="1"/>
  <c r="I8" i="26"/>
  <c r="I7" i="26"/>
  <c r="J19" i="17"/>
  <c r="J18" i="17"/>
  <c r="J17" i="17"/>
  <c r="J16" i="17"/>
  <c r="J15" i="17"/>
  <c r="J14" i="17"/>
  <c r="J13" i="17"/>
  <c r="J12" i="17"/>
  <c r="J10" i="17"/>
  <c r="J9" i="17"/>
  <c r="J8" i="17"/>
  <c r="J7" i="17"/>
  <c r="I6" i="26" l="1"/>
  <c r="G69" i="25"/>
  <c r="I69" i="25" s="1"/>
  <c r="F22" i="30"/>
  <c r="I21" i="26"/>
  <c r="I20" i="26"/>
  <c r="I14" i="26"/>
  <c r="I19" i="26"/>
  <c r="H19" i="26"/>
  <c r="I13" i="26"/>
  <c r="H18" i="26"/>
  <c r="I18" i="26"/>
  <c r="I12" i="26"/>
  <c r="H17" i="26"/>
  <c r="I17" i="26"/>
  <c r="I11" i="26"/>
  <c r="I16" i="26"/>
  <c r="I10" i="26"/>
  <c r="I15" i="26"/>
  <c r="H11" i="26"/>
  <c r="H10" i="26"/>
  <c r="H16" i="26"/>
  <c r="H15" i="26"/>
  <c r="H20" i="26"/>
  <c r="H13" i="26"/>
  <c r="H21" i="26"/>
  <c r="H14" i="26"/>
  <c r="H12" i="26"/>
  <c r="J20" i="17"/>
  <c r="F9" i="19" s="1"/>
  <c r="G130" i="25"/>
  <c r="I130" i="25" s="1"/>
  <c r="G110" i="25"/>
  <c r="I110" i="25" s="1"/>
  <c r="G90" i="25"/>
  <c r="I90" i="25" s="1"/>
  <c r="G63" i="25"/>
  <c r="I63" i="25" s="1"/>
  <c r="G15" i="25"/>
  <c r="I15" i="25" s="1"/>
  <c r="G42" i="25"/>
  <c r="I42" i="25" s="1"/>
  <c r="G120" i="25"/>
  <c r="I120" i="25" s="1"/>
  <c r="G80" i="25"/>
  <c r="I80" i="25" s="1"/>
  <c r="G25" i="25"/>
  <c r="I25" i="25" s="1"/>
  <c r="G52" i="25"/>
  <c r="I52" i="25" s="1"/>
  <c r="G140" i="25"/>
  <c r="I140" i="25" s="1"/>
  <c r="G100" i="25"/>
  <c r="I100" i="25" s="1"/>
  <c r="G47" i="25"/>
  <c r="I47" i="25" s="1"/>
  <c r="G20" i="25"/>
  <c r="I20" i="25" s="1"/>
  <c r="G125" i="25"/>
  <c r="I125" i="25" s="1"/>
  <c r="G105" i="25"/>
  <c r="I105" i="25" s="1"/>
  <c r="G85" i="25"/>
  <c r="I85" i="25" s="1"/>
  <c r="G58" i="25"/>
  <c r="I58" i="25" s="1"/>
  <c r="G115" i="25"/>
  <c r="I115" i="25" s="1"/>
  <c r="G75" i="25"/>
  <c r="I75" i="25" s="1"/>
  <c r="G135" i="25"/>
  <c r="I135" i="25" s="1"/>
  <c r="G95" i="25"/>
  <c r="I95" i="25" s="1"/>
  <c r="G10" i="25"/>
  <c r="I10" i="25" s="1"/>
  <c r="G37" i="25"/>
  <c r="I37" i="25" s="1"/>
  <c r="G12" i="25"/>
  <c r="I12" i="25" s="1"/>
  <c r="G137" i="25"/>
  <c r="I137" i="25" s="1"/>
  <c r="G117" i="25"/>
  <c r="I117" i="25" s="1"/>
  <c r="G97" i="25"/>
  <c r="I97" i="25" s="1"/>
  <c r="G77" i="25"/>
  <c r="I77" i="25" s="1"/>
  <c r="G49" i="25"/>
  <c r="I49" i="25" s="1"/>
  <c r="G39" i="25"/>
  <c r="I39" i="25" s="1"/>
  <c r="G127" i="25"/>
  <c r="I127" i="25" s="1"/>
  <c r="G87" i="25"/>
  <c r="I87" i="25" s="1"/>
  <c r="G107" i="25"/>
  <c r="I107" i="25" s="1"/>
  <c r="G60" i="25"/>
  <c r="I60" i="25" s="1"/>
  <c r="G22" i="25"/>
  <c r="I22" i="25" s="1"/>
  <c r="G53" i="25"/>
  <c r="I53" i="25" s="1"/>
  <c r="G26" i="25"/>
  <c r="I26" i="25" s="1"/>
  <c r="G131" i="25"/>
  <c r="I131" i="25" s="1"/>
  <c r="G111" i="25"/>
  <c r="I111" i="25" s="1"/>
  <c r="G91" i="25"/>
  <c r="I91" i="25" s="1"/>
  <c r="G64" i="25"/>
  <c r="I64" i="25" s="1"/>
  <c r="G141" i="25"/>
  <c r="I141" i="25" s="1"/>
  <c r="G101" i="25"/>
  <c r="I101" i="25" s="1"/>
  <c r="G16" i="25"/>
  <c r="I16" i="25" s="1"/>
  <c r="G43" i="25"/>
  <c r="I43" i="25" s="1"/>
  <c r="G121" i="25"/>
  <c r="I121" i="25" s="1"/>
  <c r="G81" i="25"/>
  <c r="I81" i="25" s="1"/>
  <c r="G40" i="25"/>
  <c r="I40" i="25" s="1"/>
  <c r="G13" i="25"/>
  <c r="I13" i="25" s="1"/>
  <c r="G138" i="25"/>
  <c r="I138" i="25" s="1"/>
  <c r="G118" i="25"/>
  <c r="I118" i="25" s="1"/>
  <c r="G98" i="25"/>
  <c r="I98" i="25" s="1"/>
  <c r="G78" i="25"/>
  <c r="I78" i="25" s="1"/>
  <c r="G108" i="25"/>
  <c r="I108" i="25" s="1"/>
  <c r="G61" i="25"/>
  <c r="I61" i="25" s="1"/>
  <c r="G23" i="25"/>
  <c r="I23" i="25" s="1"/>
  <c r="G50" i="25"/>
  <c r="I50" i="25" s="1"/>
  <c r="G128" i="25"/>
  <c r="I128" i="25" s="1"/>
  <c r="G88" i="25"/>
  <c r="I88" i="25" s="1"/>
  <c r="E10" i="24"/>
  <c r="E11" i="24"/>
  <c r="E12" i="24"/>
  <c r="E9" i="24"/>
  <c r="E7" i="24"/>
  <c r="R21" i="10"/>
  <c r="Q21" i="10"/>
  <c r="R20" i="10"/>
  <c r="Q20" i="10"/>
  <c r="R19" i="10"/>
  <c r="Q19" i="10"/>
  <c r="R18" i="10"/>
  <c r="Q18" i="10"/>
  <c r="R17" i="10"/>
  <c r="Q17" i="10"/>
  <c r="R16" i="10"/>
  <c r="Q16" i="10"/>
  <c r="R15" i="10"/>
  <c r="Q15" i="10"/>
  <c r="R14" i="10"/>
  <c r="Q14" i="10"/>
  <c r="Q12" i="10"/>
  <c r="R12" i="10"/>
  <c r="Q9" i="10"/>
  <c r="R9" i="10"/>
  <c r="Q10" i="10"/>
  <c r="R10" i="10"/>
  <c r="Q11" i="10"/>
  <c r="R11" i="10"/>
  <c r="R8" i="10"/>
  <c r="Q8" i="10"/>
  <c r="K13" i="11"/>
  <c r="K23" i="11"/>
  <c r="K22" i="11"/>
  <c r="K21" i="11"/>
  <c r="K20" i="11"/>
  <c r="K19" i="11"/>
  <c r="K18" i="11"/>
  <c r="K17" i="11"/>
  <c r="K16" i="11"/>
  <c r="K15" i="11"/>
  <c r="K14" i="11"/>
  <c r="K12" i="11"/>
  <c r="K11" i="11"/>
  <c r="K10" i="11"/>
  <c r="K9" i="11"/>
  <c r="K7" i="11"/>
  <c r="K6" i="11"/>
  <c r="L151" i="12"/>
  <c r="L150" i="12"/>
  <c r="L149" i="12"/>
  <c r="L148" i="12"/>
  <c r="L147" i="12"/>
  <c r="L146" i="12"/>
  <c r="L145" i="12"/>
  <c r="L144" i="12"/>
  <c r="L143" i="12"/>
  <c r="L141" i="12"/>
  <c r="L140" i="12"/>
  <c r="L139" i="12"/>
  <c r="L138" i="12"/>
  <c r="L137" i="12"/>
  <c r="L136" i="12"/>
  <c r="L135" i="12"/>
  <c r="L134" i="12"/>
  <c r="L133" i="12"/>
  <c r="L131" i="12"/>
  <c r="L130" i="12"/>
  <c r="L129" i="12"/>
  <c r="L128" i="12"/>
  <c r="L127" i="12"/>
  <c r="L126" i="12"/>
  <c r="L125" i="12"/>
  <c r="L124" i="12"/>
  <c r="L123" i="12"/>
  <c r="L121" i="12"/>
  <c r="L120" i="12"/>
  <c r="L119" i="12"/>
  <c r="L118" i="12"/>
  <c r="L117" i="12"/>
  <c r="L116" i="12"/>
  <c r="L115" i="12"/>
  <c r="L114" i="12"/>
  <c r="L113" i="12"/>
  <c r="L111" i="12"/>
  <c r="L110" i="12"/>
  <c r="L109" i="12"/>
  <c r="L108" i="12"/>
  <c r="L107" i="12"/>
  <c r="L106" i="12"/>
  <c r="L105" i="12"/>
  <c r="L104" i="12"/>
  <c r="L103" i="12"/>
  <c r="L101" i="12"/>
  <c r="L100" i="12"/>
  <c r="L99" i="12"/>
  <c r="L98" i="12"/>
  <c r="L97" i="12"/>
  <c r="L96" i="12"/>
  <c r="L95" i="12"/>
  <c r="L94" i="12"/>
  <c r="L93" i="12"/>
  <c r="L91" i="12"/>
  <c r="L90" i="12"/>
  <c r="L89" i="12"/>
  <c r="L88" i="12"/>
  <c r="L87" i="12"/>
  <c r="L86" i="12"/>
  <c r="L85" i="12"/>
  <c r="L84" i="12"/>
  <c r="L83" i="12"/>
  <c r="L81" i="12"/>
  <c r="L80" i="12"/>
  <c r="L79" i="12"/>
  <c r="L78" i="12"/>
  <c r="L77" i="12"/>
  <c r="L76" i="12"/>
  <c r="L75" i="12"/>
  <c r="L74" i="12"/>
  <c r="L73" i="12"/>
  <c r="L72" i="12"/>
  <c r="L71" i="12"/>
  <c r="L70" i="12"/>
  <c r="L69" i="12"/>
  <c r="L68" i="12"/>
  <c r="L67" i="12"/>
  <c r="L66" i="12"/>
  <c r="L63" i="12"/>
  <c r="L62" i="12"/>
  <c r="L61" i="12"/>
  <c r="L60" i="12"/>
  <c r="L59" i="12"/>
  <c r="L58" i="12"/>
  <c r="L57" i="12"/>
  <c r="L56" i="12"/>
  <c r="L55" i="12"/>
  <c r="L53" i="12"/>
  <c r="L52" i="12"/>
  <c r="L51" i="12"/>
  <c r="L50" i="12"/>
  <c r="L49" i="12"/>
  <c r="L48" i="12"/>
  <c r="L47" i="12"/>
  <c r="L46" i="12"/>
  <c r="L45" i="12"/>
  <c r="L43" i="12"/>
  <c r="L42" i="12"/>
  <c r="L41" i="12"/>
  <c r="L40" i="12"/>
  <c r="L39" i="12"/>
  <c r="L38" i="12"/>
  <c r="L37" i="12"/>
  <c r="L36" i="12"/>
  <c r="L35" i="12"/>
  <c r="L33" i="12"/>
  <c r="L32" i="12"/>
  <c r="L31" i="12"/>
  <c r="L30" i="12"/>
  <c r="L29" i="12"/>
  <c r="L28" i="12"/>
  <c r="L27" i="12"/>
  <c r="L26" i="12"/>
  <c r="L25" i="12"/>
  <c r="L24" i="12"/>
  <c r="L23" i="12"/>
  <c r="L22" i="12"/>
  <c r="L21" i="12"/>
  <c r="L20" i="12"/>
  <c r="L19" i="12"/>
  <c r="L18" i="12"/>
  <c r="L9" i="12"/>
  <c r="L10" i="12"/>
  <c r="L11" i="12"/>
  <c r="L12" i="12"/>
  <c r="L13" i="12"/>
  <c r="L14" i="12"/>
  <c r="L15" i="12"/>
  <c r="L16" i="12"/>
  <c r="L8" i="12"/>
  <c r="K17" i="13"/>
  <c r="K16" i="13"/>
  <c r="K15" i="13"/>
  <c r="K14" i="13"/>
  <c r="K13" i="13"/>
  <c r="K12" i="13"/>
  <c r="K11" i="13"/>
  <c r="K10" i="13"/>
  <c r="K9" i="13"/>
  <c r="K7" i="13"/>
  <c r="K10" i="14"/>
  <c r="K11" i="14"/>
  <c r="K12" i="14"/>
  <c r="K9" i="14"/>
  <c r="K7" i="14"/>
  <c r="K7" i="15"/>
  <c r="K6" i="15"/>
  <c r="A5" i="23"/>
  <c r="F4" i="23"/>
  <c r="I9" i="26" l="1"/>
  <c r="G10" i="19" s="1"/>
  <c r="H9" i="26"/>
  <c r="H22" i="26" s="1"/>
  <c r="F10" i="19" s="1"/>
  <c r="F21" i="30"/>
  <c r="F20" i="30" s="1"/>
  <c r="G8" i="23"/>
  <c r="F8" i="23"/>
  <c r="I143" i="25"/>
  <c r="D6" i="1" s="1"/>
  <c r="I22" i="26" l="1"/>
  <c r="G13" i="16"/>
  <c r="G12" i="16"/>
  <c r="F14" i="30" l="1"/>
  <c r="D11" i="21"/>
  <c r="F11" i="21" s="1"/>
  <c r="F11" i="30" l="1"/>
  <c r="F11" i="19"/>
  <c r="I14" i="16"/>
  <c r="V19" i="12"/>
  <c r="V20" i="12"/>
  <c r="V21" i="12"/>
  <c r="V22" i="12"/>
  <c r="V23" i="12"/>
  <c r="V24" i="12"/>
  <c r="V25" i="12"/>
  <c r="V26" i="12"/>
  <c r="V18" i="12"/>
  <c r="Z26" i="12"/>
  <c r="Z25" i="12"/>
  <c r="Z24" i="12"/>
  <c r="Z23" i="12"/>
  <c r="Z22" i="12"/>
  <c r="Z21" i="12"/>
  <c r="Z20" i="12"/>
  <c r="Z19" i="12"/>
  <c r="Z18" i="12"/>
  <c r="Y26" i="12"/>
  <c r="Y25" i="12"/>
  <c r="Y24" i="12"/>
  <c r="Y23" i="12"/>
  <c r="Y22" i="12"/>
  <c r="Y21" i="12"/>
  <c r="Y20" i="12"/>
  <c r="Y19" i="12"/>
  <c r="Y18" i="12"/>
  <c r="X26" i="12"/>
  <c r="X25" i="12"/>
  <c r="X24" i="12"/>
  <c r="X23" i="12"/>
  <c r="X22" i="12"/>
  <c r="X21" i="12"/>
  <c r="X20" i="12"/>
  <c r="X19" i="12"/>
  <c r="X18" i="12"/>
  <c r="W26" i="12"/>
  <c r="W25" i="12"/>
  <c r="W24" i="12"/>
  <c r="W23" i="12"/>
  <c r="W22" i="12"/>
  <c r="W21" i="12"/>
  <c r="W20" i="12"/>
  <c r="W19" i="12"/>
  <c r="W18" i="12"/>
  <c r="U26" i="12"/>
  <c r="U25" i="12"/>
  <c r="U24" i="12"/>
  <c r="U23" i="12"/>
  <c r="U22" i="12"/>
  <c r="U21" i="12"/>
  <c r="U20" i="12"/>
  <c r="U19" i="12"/>
  <c r="U18" i="12"/>
  <c r="T26" i="12"/>
  <c r="T25" i="12"/>
  <c r="T24" i="12"/>
  <c r="T23" i="12"/>
  <c r="T22" i="12"/>
  <c r="T21" i="12"/>
  <c r="T20" i="12"/>
  <c r="T19" i="12"/>
  <c r="T18" i="12"/>
  <c r="S33" i="12"/>
  <c r="S32" i="12"/>
  <c r="S31" i="12"/>
  <c r="S30" i="12"/>
  <c r="S29" i="12"/>
  <c r="S28" i="12"/>
  <c r="S27" i="12"/>
  <c r="S26" i="12"/>
  <c r="S25" i="12"/>
  <c r="S24" i="12"/>
  <c r="S23" i="12"/>
  <c r="S22" i="12"/>
  <c r="S21" i="12"/>
  <c r="S20" i="12"/>
  <c r="S19" i="12"/>
  <c r="S18" i="12"/>
  <c r="Q26" i="12"/>
  <c r="Q25" i="12"/>
  <c r="Q24" i="12"/>
  <c r="Q23" i="12"/>
  <c r="Q22" i="12"/>
  <c r="Q21" i="12"/>
  <c r="Q20" i="12"/>
  <c r="Q19" i="12"/>
  <c r="Q18" i="12"/>
  <c r="P26" i="12"/>
  <c r="P25" i="12"/>
  <c r="P24" i="12"/>
  <c r="P23" i="12"/>
  <c r="P22" i="12"/>
  <c r="P21" i="12"/>
  <c r="P20" i="12"/>
  <c r="P19" i="12"/>
  <c r="P18" i="12"/>
  <c r="O33" i="12"/>
  <c r="O32" i="12"/>
  <c r="O31" i="12"/>
  <c r="O30" i="12"/>
  <c r="O29" i="12"/>
  <c r="O28" i="12"/>
  <c r="O27" i="12"/>
  <c r="O26" i="12"/>
  <c r="O25" i="12"/>
  <c r="O24" i="12"/>
  <c r="O23" i="12"/>
  <c r="O22" i="12"/>
  <c r="O21" i="12"/>
  <c r="O20" i="12"/>
  <c r="O19" i="12"/>
  <c r="O18" i="12"/>
  <c r="N19" i="12"/>
  <c r="N20" i="12"/>
  <c r="N21" i="12"/>
  <c r="N22" i="12"/>
  <c r="N23" i="12"/>
  <c r="N24" i="12"/>
  <c r="N25" i="12"/>
  <c r="N26" i="12"/>
  <c r="N18" i="12"/>
  <c r="J12" i="14"/>
  <c r="J11" i="14"/>
  <c r="J10" i="14"/>
  <c r="J9" i="14"/>
  <c r="J7" i="14"/>
  <c r="I13" i="16" l="1"/>
  <c r="G11" i="16"/>
  <c r="I11" i="16" s="1"/>
  <c r="I12" i="16"/>
  <c r="F10" i="16" l="1"/>
  <c r="I10" i="16" s="1"/>
  <c r="F6" i="16"/>
  <c r="F20" i="19" l="1"/>
  <c r="F21" i="5"/>
  <c r="F20" i="5"/>
  <c r="F19" i="5"/>
  <c r="F18" i="5"/>
  <c r="F17" i="5"/>
  <c r="F13" i="5"/>
  <c r="F12" i="5"/>
  <c r="F8" i="5"/>
  <c r="F14" i="5"/>
  <c r="F11" i="5"/>
  <c r="F9" i="5"/>
  <c r="F10" i="5"/>
  <c r="F7" i="5"/>
  <c r="F6" i="5"/>
  <c r="J6" i="5" s="1"/>
  <c r="F16" i="5"/>
  <c r="F15" i="5"/>
  <c r="E7" i="7"/>
  <c r="D7" i="7"/>
  <c r="E6" i="7"/>
  <c r="D6" i="7"/>
  <c r="E5" i="7"/>
  <c r="D5" i="7"/>
  <c r="D8" i="7" l="1"/>
  <c r="E8" i="7" s="1"/>
  <c r="F7" i="24" s="1"/>
  <c r="H7" i="24" s="1"/>
  <c r="F30" i="25"/>
  <c r="H30" i="25" s="1"/>
  <c r="F32" i="25"/>
  <c r="H32" i="25" s="1"/>
  <c r="F17" i="25"/>
  <c r="F10" i="25"/>
  <c r="F15" i="25"/>
  <c r="F14" i="25"/>
  <c r="H14" i="25" s="1"/>
  <c r="F9" i="25"/>
  <c r="F13" i="25"/>
  <c r="H13" i="25" s="1"/>
  <c r="F16" i="25"/>
  <c r="H16" i="25" s="1"/>
  <c r="F29" i="25"/>
  <c r="H29" i="25" s="1"/>
  <c r="F11" i="25"/>
  <c r="F28" i="25"/>
  <c r="H28" i="25" s="1"/>
  <c r="F12" i="25"/>
  <c r="F22" i="25" l="1"/>
  <c r="H22" i="25" s="1"/>
  <c r="H12" i="25"/>
  <c r="F19" i="25"/>
  <c r="H19" i="25" s="1"/>
  <c r="H9" i="25"/>
  <c r="F20" i="25"/>
  <c r="H20" i="25" s="1"/>
  <c r="H10" i="25"/>
  <c r="F21" i="25"/>
  <c r="H21" i="25" s="1"/>
  <c r="H11" i="25"/>
  <c r="F25" i="25"/>
  <c r="H25" i="25" s="1"/>
  <c r="H15" i="25"/>
  <c r="F27" i="25"/>
  <c r="H27" i="25" s="1"/>
  <c r="H17" i="25"/>
  <c r="F9" i="24"/>
  <c r="H9" i="24" s="1"/>
  <c r="F26" i="25"/>
  <c r="F53" i="25" s="1"/>
  <c r="H53" i="25" s="1"/>
  <c r="F67" i="25"/>
  <c r="H67" i="25" s="1"/>
  <c r="F68" i="25"/>
  <c r="H68" i="25" s="1"/>
  <c r="F23" i="25"/>
  <c r="H23" i="25" s="1"/>
  <c r="F70" i="25"/>
  <c r="H70" i="25" s="1"/>
  <c r="F66" i="25"/>
  <c r="H66" i="25" s="1"/>
  <c r="F34" i="25"/>
  <c r="H34" i="25" s="1"/>
  <c r="F24" i="25"/>
  <c r="F31" i="25"/>
  <c r="F33" i="25"/>
  <c r="H33" i="25" s="1"/>
  <c r="F131" i="25"/>
  <c r="H131" i="25" s="1"/>
  <c r="F48" i="25"/>
  <c r="H48" i="25" s="1"/>
  <c r="E9" i="7"/>
  <c r="M19" i="12"/>
  <c r="M20" i="12"/>
  <c r="M21" i="12"/>
  <c r="M22" i="12"/>
  <c r="M23" i="12"/>
  <c r="M24" i="12"/>
  <c r="M25" i="12"/>
  <c r="M26" i="12"/>
  <c r="M27" i="12"/>
  <c r="M28" i="12"/>
  <c r="M29" i="12"/>
  <c r="M30" i="12"/>
  <c r="M31" i="12"/>
  <c r="M32" i="12"/>
  <c r="M33" i="12"/>
  <c r="M18" i="12"/>
  <c r="F57" i="25" l="1"/>
  <c r="H57" i="25" s="1"/>
  <c r="F102" i="25"/>
  <c r="H102" i="25" s="1"/>
  <c r="F90" i="25"/>
  <c r="H90" i="25" s="1"/>
  <c r="F115" i="25"/>
  <c r="H115" i="25" s="1"/>
  <c r="F130" i="25"/>
  <c r="H130" i="25" s="1"/>
  <c r="F135" i="25"/>
  <c r="H135" i="25" s="1"/>
  <c r="F76" i="25"/>
  <c r="H76" i="25" s="1"/>
  <c r="F132" i="25"/>
  <c r="H132" i="25" s="1"/>
  <c r="F77" i="25"/>
  <c r="H77" i="25" s="1"/>
  <c r="F54" i="25"/>
  <c r="H54" i="25" s="1"/>
  <c r="F59" i="25"/>
  <c r="H59" i="25" s="1"/>
  <c r="F137" i="25"/>
  <c r="H137" i="25" s="1"/>
  <c r="F96" i="25"/>
  <c r="H96" i="25" s="1"/>
  <c r="F82" i="25"/>
  <c r="H82" i="25" s="1"/>
  <c r="F136" i="25"/>
  <c r="H136" i="25" s="1"/>
  <c r="F127" i="25"/>
  <c r="H127" i="25" s="1"/>
  <c r="F65" i="25"/>
  <c r="H65" i="25" s="1"/>
  <c r="F58" i="25"/>
  <c r="H58" i="25" s="1"/>
  <c r="F122" i="25"/>
  <c r="H122" i="25" s="1"/>
  <c r="F125" i="25"/>
  <c r="H125" i="25" s="1"/>
  <c r="F142" i="25"/>
  <c r="H142" i="25" s="1"/>
  <c r="F112" i="25"/>
  <c r="H112" i="25" s="1"/>
  <c r="F85" i="25"/>
  <c r="H85" i="25" s="1"/>
  <c r="F105" i="25"/>
  <c r="H105" i="25" s="1"/>
  <c r="F75" i="25"/>
  <c r="H75" i="25" s="1"/>
  <c r="F47" i="25"/>
  <c r="H47" i="25" s="1"/>
  <c r="F92" i="25"/>
  <c r="H92" i="25" s="1"/>
  <c r="F106" i="25"/>
  <c r="H106" i="25" s="1"/>
  <c r="F117" i="25"/>
  <c r="H117" i="25" s="1"/>
  <c r="F95" i="25"/>
  <c r="H95" i="25" s="1"/>
  <c r="F37" i="25"/>
  <c r="H37" i="25" s="1"/>
  <c r="F44" i="25"/>
  <c r="H44" i="25" s="1"/>
  <c r="F110" i="25"/>
  <c r="H110" i="25" s="1"/>
  <c r="F104" i="25"/>
  <c r="H104" i="25" s="1"/>
  <c r="F114" i="25"/>
  <c r="H114" i="25" s="1"/>
  <c r="F86" i="25"/>
  <c r="H86" i="25" s="1"/>
  <c r="F126" i="25"/>
  <c r="H126" i="25" s="1"/>
  <c r="F39" i="25"/>
  <c r="H39" i="25" s="1"/>
  <c r="F87" i="25"/>
  <c r="H87" i="25" s="1"/>
  <c r="F94" i="25"/>
  <c r="H94" i="25" s="1"/>
  <c r="F134" i="25"/>
  <c r="H134" i="25" s="1"/>
  <c r="F38" i="25"/>
  <c r="H38" i="25" s="1"/>
  <c r="F140" i="25"/>
  <c r="H140" i="25" s="1"/>
  <c r="F100" i="25"/>
  <c r="H100" i="25" s="1"/>
  <c r="F60" i="25"/>
  <c r="H60" i="25" s="1"/>
  <c r="F97" i="25"/>
  <c r="H97" i="25" s="1"/>
  <c r="F69" i="25"/>
  <c r="H69" i="25" s="1"/>
  <c r="H31" i="25"/>
  <c r="F124" i="25"/>
  <c r="H124" i="25" s="1"/>
  <c r="F120" i="25"/>
  <c r="H120" i="25" s="1"/>
  <c r="F81" i="25"/>
  <c r="H81" i="25" s="1"/>
  <c r="H26" i="25"/>
  <c r="F74" i="25"/>
  <c r="H74" i="25" s="1"/>
  <c r="F42" i="25"/>
  <c r="H42" i="25" s="1"/>
  <c r="F121" i="25"/>
  <c r="H121" i="25" s="1"/>
  <c r="F36" i="25"/>
  <c r="H36" i="25" s="1"/>
  <c r="F80" i="25"/>
  <c r="H80" i="25" s="1"/>
  <c r="F46" i="25"/>
  <c r="H46" i="25" s="1"/>
  <c r="F84" i="25"/>
  <c r="H84" i="25" s="1"/>
  <c r="F116" i="25"/>
  <c r="H116" i="25" s="1"/>
  <c r="F52" i="25"/>
  <c r="H52" i="25" s="1"/>
  <c r="F63" i="25"/>
  <c r="H63" i="25" s="1"/>
  <c r="F49" i="25"/>
  <c r="H49" i="25" s="1"/>
  <c r="F107" i="25"/>
  <c r="H107" i="25" s="1"/>
  <c r="F51" i="25"/>
  <c r="H51" i="25" s="1"/>
  <c r="H24" i="25"/>
  <c r="F128" i="25"/>
  <c r="H128" i="25" s="1"/>
  <c r="F43" i="25"/>
  <c r="H43" i="25" s="1"/>
  <c r="F10" i="24"/>
  <c r="H10" i="24" s="1"/>
  <c r="F111" i="25"/>
  <c r="H111" i="25" s="1"/>
  <c r="F64" i="25"/>
  <c r="H64" i="25" s="1"/>
  <c r="F101" i="25"/>
  <c r="H101" i="25" s="1"/>
  <c r="F91" i="25"/>
  <c r="H91" i="25" s="1"/>
  <c r="F141" i="25"/>
  <c r="H141" i="25" s="1"/>
  <c r="F118" i="25"/>
  <c r="H118" i="25" s="1"/>
  <c r="F108" i="25"/>
  <c r="H108" i="25" s="1"/>
  <c r="F71" i="25"/>
  <c r="H71" i="25" s="1"/>
  <c r="F88" i="25"/>
  <c r="H88" i="25" s="1"/>
  <c r="F61" i="25"/>
  <c r="H61" i="25" s="1"/>
  <c r="F78" i="25"/>
  <c r="H78" i="25" s="1"/>
  <c r="F40" i="25"/>
  <c r="H40" i="25" s="1"/>
  <c r="F138" i="25"/>
  <c r="H138" i="25" s="1"/>
  <c r="F98" i="25"/>
  <c r="H98" i="25" s="1"/>
  <c r="F50" i="25"/>
  <c r="H50" i="25" s="1"/>
  <c r="F62" i="25"/>
  <c r="H62" i="25" s="1"/>
  <c r="F89" i="25"/>
  <c r="H89" i="25" s="1"/>
  <c r="F41" i="25"/>
  <c r="H41" i="25" s="1"/>
  <c r="F99" i="25"/>
  <c r="H99" i="25" s="1"/>
  <c r="F129" i="25"/>
  <c r="H129" i="25" s="1"/>
  <c r="F109" i="25"/>
  <c r="H109" i="25" s="1"/>
  <c r="F119" i="25"/>
  <c r="H119" i="25" s="1"/>
  <c r="F72" i="25"/>
  <c r="H72" i="25" s="1"/>
  <c r="F79" i="25"/>
  <c r="H79" i="25" s="1"/>
  <c r="F139" i="25"/>
  <c r="H139" i="25" s="1"/>
  <c r="H143" i="25" l="1"/>
  <c r="C6" i="1" s="1"/>
  <c r="F11" i="24"/>
  <c r="H11" i="24" s="1"/>
  <c r="F12" i="24" l="1"/>
  <c r="H12" i="24" s="1"/>
  <c r="H13" i="24" s="1"/>
  <c r="F10" i="23"/>
  <c r="I8" i="16"/>
  <c r="I9" i="16"/>
  <c r="I5" i="16"/>
  <c r="I6" i="16"/>
  <c r="I7" i="16"/>
  <c r="D8" i="1" l="1"/>
  <c r="F9" i="23"/>
  <c r="G9" i="23"/>
  <c r="G10" i="23"/>
  <c r="G4" i="16"/>
  <c r="D10" i="1" l="1"/>
  <c r="G8" i="19" s="1"/>
  <c r="G7" i="19" s="1"/>
  <c r="G14" i="19" s="1"/>
  <c r="I4" i="16"/>
  <c r="G16" i="19" l="1"/>
  <c r="G17" i="19" s="1"/>
  <c r="G18" i="19" s="1"/>
  <c r="H9" i="31"/>
  <c r="H18" i="31" s="1"/>
  <c r="C7" i="1" s="1"/>
  <c r="C10" i="1" s="1"/>
  <c r="D12" i="28"/>
  <c r="E12" i="28" s="1"/>
  <c r="F12" i="28" s="1"/>
  <c r="G19" i="19" l="1"/>
  <c r="F8" i="19"/>
  <c r="F14" i="19" s="1"/>
  <c r="F8" i="30"/>
  <c r="F7" i="23"/>
  <c r="G7" i="23"/>
  <c r="G6" i="23" s="1"/>
  <c r="F6" i="23" s="1"/>
  <c r="F7" i="19" l="1"/>
  <c r="F16" i="19" l="1"/>
  <c r="F17" i="19" s="1"/>
  <c r="F13" i="30"/>
  <c r="F7" i="30" s="1"/>
  <c r="F18" i="19" l="1"/>
  <c r="F19" i="19" s="1"/>
  <c r="F23" i="19" s="1"/>
  <c r="C9" i="28" s="1"/>
  <c r="F6" i="30"/>
  <c r="F17" i="30"/>
  <c r="C10" i="28"/>
  <c r="E10" i="28" s="1"/>
  <c r="F10" i="28" s="1"/>
  <c r="F18" i="30" l="1"/>
  <c r="F23" i="30" s="1"/>
  <c r="F24" i="30" s="1"/>
  <c r="E4" i="28"/>
  <c r="F4" i="28" s="1"/>
  <c r="E5" i="28"/>
  <c r="F5" i="28" s="1"/>
  <c r="E6" i="28"/>
  <c r="F6" i="28" s="1"/>
  <c r="E3" i="28"/>
  <c r="F3" i="28" s="1"/>
  <c r="I8" i="37"/>
  <c r="I9" i="37" s="1"/>
  <c r="I11" i="37" s="1"/>
  <c r="F19" i="30" l="1"/>
  <c r="I12" i="37"/>
  <c r="E5" i="36" l="1"/>
  <c r="F5" i="36" s="1"/>
  <c r="I19" i="37"/>
  <c r="E6" i="36" s="1"/>
  <c r="F6" i="36" s="1"/>
  <c r="F7" i="36" l="1"/>
  <c r="G21" i="19" s="1"/>
  <c r="G20" i="19" s="1"/>
  <c r="G23" i="19" s="1"/>
</calcChain>
</file>

<file path=xl/comments1.xml><?xml version="1.0" encoding="utf-8"?>
<comments xmlns="http://schemas.openxmlformats.org/spreadsheetml/2006/main">
  <authors>
    <author>Doi Dien Linh</author>
  </authors>
  <commentList>
    <comment ref="B5" authorId="0" shapeId="0">
      <text>
        <r>
          <rPr>
            <b/>
            <sz val="9"/>
            <color indexed="81"/>
            <rFont val="Tahoma"/>
            <family val="2"/>
            <charset val="163"/>
          </rPr>
          <t>LTD:
Từ thứ 2 đến Chủ nhật</t>
        </r>
        <r>
          <rPr>
            <sz val="9"/>
            <color indexed="81"/>
            <rFont val="Tahoma"/>
            <family val="2"/>
            <charset val="163"/>
          </rPr>
          <t xml:space="preserve">
Từ 22h00 hôm trước đến 04h00 hôm sau</t>
        </r>
      </text>
    </comment>
    <comment ref="B6" authorId="0" shapeId="0">
      <text>
        <r>
          <rPr>
            <b/>
            <sz val="9"/>
            <color indexed="81"/>
            <rFont val="Tahoma"/>
            <family val="2"/>
            <charset val="163"/>
          </rPr>
          <t>LTD:
Từ thứ 2 đến thứ 7</t>
        </r>
        <r>
          <rPr>
            <sz val="9"/>
            <color indexed="81"/>
            <rFont val="Tahoma"/>
            <family val="2"/>
            <charset val="163"/>
          </rPr>
          <t xml:space="preserve">
04h00 đến 9h30
11h30 đến 17h00
20h00 đến 22h00
</t>
        </r>
        <r>
          <rPr>
            <b/>
            <sz val="9"/>
            <color indexed="81"/>
            <rFont val="Tahoma"/>
            <family val="2"/>
            <charset val="163"/>
          </rPr>
          <t>Chủ nhật</t>
        </r>
        <r>
          <rPr>
            <sz val="9"/>
            <color indexed="81"/>
            <rFont val="Tahoma"/>
            <family val="2"/>
            <charset val="163"/>
          </rPr>
          <t xml:space="preserve">
04h00 đến 22h00</t>
        </r>
      </text>
    </comment>
    <comment ref="B7" authorId="0" shapeId="0">
      <text>
        <r>
          <rPr>
            <b/>
            <sz val="9"/>
            <color indexed="81"/>
            <rFont val="Tahoma"/>
            <family val="2"/>
            <charset val="163"/>
          </rPr>
          <t xml:space="preserve">LTD:
Từ thứ 2 đến thứ 7
</t>
        </r>
        <r>
          <rPr>
            <sz val="9"/>
            <color indexed="81"/>
            <rFont val="Tahoma"/>
            <family val="2"/>
            <charset val="163"/>
          </rPr>
          <t>09h30 đến 11h30</t>
        </r>
        <r>
          <rPr>
            <b/>
            <sz val="9"/>
            <color indexed="81"/>
            <rFont val="Tahoma"/>
            <family val="2"/>
            <charset val="163"/>
          </rPr>
          <t xml:space="preserve">
</t>
        </r>
        <r>
          <rPr>
            <sz val="9"/>
            <color indexed="81"/>
            <rFont val="Tahoma"/>
            <family val="2"/>
            <charset val="163"/>
          </rPr>
          <t>17h00 đến 22h00</t>
        </r>
        <r>
          <rPr>
            <b/>
            <sz val="9"/>
            <color indexed="81"/>
            <rFont val="Tahoma"/>
            <family val="2"/>
            <charset val="163"/>
          </rPr>
          <t xml:space="preserve">
Chủ nhật
</t>
        </r>
        <r>
          <rPr>
            <sz val="9"/>
            <color indexed="81"/>
            <rFont val="Tahoma"/>
            <family val="2"/>
            <charset val="163"/>
          </rPr>
          <t>Không có</t>
        </r>
      </text>
    </comment>
  </commentList>
</comments>
</file>

<file path=xl/sharedStrings.xml><?xml version="1.0" encoding="utf-8"?>
<sst xmlns="http://schemas.openxmlformats.org/spreadsheetml/2006/main" count="2450" uniqueCount="736">
  <si>
    <t>STT</t>
  </si>
  <si>
    <t>Đơn vị</t>
  </si>
  <si>
    <t>I</t>
  </si>
  <si>
    <t>Áo phản quang</t>
  </si>
  <si>
    <t>cái</t>
  </si>
  <si>
    <t>Chổi có cán</t>
  </si>
  <si>
    <t>Găng tay bảo hộ lao động</t>
  </si>
  <si>
    <t>đôi</t>
  </si>
  <si>
    <t>Giầy bảo hộ lao động</t>
  </si>
  <si>
    <t>Khẩu trang than hoạt tính</t>
  </si>
  <si>
    <t>Mũ bảo hộ lao động</t>
  </si>
  <si>
    <t>Quần áo bảo hộ lao động</t>
  </si>
  <si>
    <t>bộ</t>
  </si>
  <si>
    <t>Quần áo mưa</t>
  </si>
  <si>
    <t>Ủng cao su</t>
  </si>
  <si>
    <t>Xẻng có cán</t>
  </si>
  <si>
    <t>II</t>
  </si>
  <si>
    <t>lít</t>
  </si>
  <si>
    <t>Tên nhân công</t>
  </si>
  <si>
    <t>TT</t>
  </si>
  <si>
    <t>Định mức</t>
  </si>
  <si>
    <t>01 NC III.IV</t>
  </si>
  <si>
    <t>04 NC III.IV</t>
  </si>
  <si>
    <t>Danh mục thiết bị</t>
  </si>
  <si>
    <t>Công suất</t>
  </si>
  <si>
    <t>-</t>
  </si>
  <si>
    <t>Danh mục dụng cụ</t>
  </si>
  <si>
    <t>Đơn vị tính</t>
  </si>
  <si>
    <t>1.1</t>
  </si>
  <si>
    <t>1.2</t>
  </si>
  <si>
    <t>Danh mục vật liệu</t>
  </si>
  <si>
    <t>kg</t>
  </si>
  <si>
    <t>Danh mục năng lượng</t>
  </si>
  <si>
    <t>kWh</t>
  </si>
  <si>
    <t>1. Định mức lao động</t>
  </si>
  <si>
    <t>1.1. Nội dung công việc</t>
  </si>
  <si>
    <t>Thành phần hao phí</t>
  </si>
  <si>
    <t>T</t>
  </si>
  <si>
    <t>01 NC III.IV</t>
  </si>
  <si>
    <t>Thành tiền_x000D_
(đ)</t>
  </si>
  <si>
    <t>Ghi chú</t>
  </si>
  <si>
    <t>a</t>
  </si>
  <si>
    <t>b</t>
  </si>
  <si>
    <t>m3</t>
  </si>
  <si>
    <t>Nội dung</t>
  </si>
  <si>
    <t>Cách tính</t>
  </si>
  <si>
    <t>Khối lượng</t>
  </si>
  <si>
    <t>2.1</t>
  </si>
  <si>
    <t>2.2</t>
  </si>
  <si>
    <t>2.4</t>
  </si>
  <si>
    <t>2.5</t>
  </si>
  <si>
    <t>B</t>
  </si>
  <si>
    <t>Chi phí vật tư trực tiếp</t>
  </si>
  <si>
    <t>Chi phí hóa chất trực tiếp</t>
  </si>
  <si>
    <t>Công cụ dụng cụ</t>
  </si>
  <si>
    <t>Chi phí nhân công trực tiếp</t>
  </si>
  <si>
    <t>D</t>
  </si>
  <si>
    <t>A</t>
  </si>
  <si>
    <t>Định mức (công nhóm/tấn)</t>
  </si>
  <si>
    <t>XL.2.1</t>
  </si>
  <si>
    <t>XL.2.2</t>
  </si>
  <si>
    <t>XL.2.3</t>
  </si>
  <si>
    <t>XL.2.4</t>
  </si>
  <si>
    <t>XL.2.5</t>
  </si>
  <si>
    <t>XL.2.6</t>
  </si>
  <si>
    <t>XL.2.7</t>
  </si>
  <si>
    <t>Tiếp nhận chất thải rắn sinh hoạt</t>
  </si>
  <si>
    <t>Vận hành trạm cân</t>
  </si>
  <si>
    <t>05 NC III.IV</t>
  </si>
  <si>
    <t>Hướng dẫn phương tiện vận chuyển đổ chất thải vào vị trí tiếp nhận</t>
  </si>
  <si>
    <t>01 NC II.IV</t>
  </si>
  <si>
    <t>Phun chế phẩm khử mùi, hóa chất diệt côn trùng, vôi bột trực tiếp lên bề mặt chất thải rắn sinh hoạt</t>
  </si>
  <si>
    <t>Phun vật liệu phủ trung gian</t>
  </si>
  <si>
    <t>Xử lý chất thải rắn sinh hoạt</t>
  </si>
  <si>
    <t>Vận hành cơ sở chôn lấp</t>
  </si>
  <si>
    <t>08 NC III.IV</t>
  </si>
  <si>
    <t>13 NC III.IV</t>
  </si>
  <si>
    <t>15 NC III.IV</t>
  </si>
  <si>
    <t>19 NC III.IV</t>
  </si>
  <si>
    <t>Máy ủi</t>
  </si>
  <si>
    <t>Máy đào</t>
  </si>
  <si>
    <t>Ô tô tải thùng tự đổ 10 tấn</t>
  </si>
  <si>
    <t>01 LX II</t>
  </si>
  <si>
    <t>Vận hành xe bồn</t>
  </si>
  <si>
    <t>01 LX III</t>
  </si>
  <si>
    <t>Thu gom nước thải (vận hành máy bơm các loại), khí thải; vệ sinh khu vực bãi, đường giao thông, khơi thông rãnh thoát nước mưa, rải nilon phủ bề mặt</t>
  </si>
  <si>
    <t>Ô tô tải thùng tự đổ 2 tấn</t>
  </si>
  <si>
    <t>Xe hút bùn</t>
  </si>
  <si>
    <t>Bảng số 46</t>
  </si>
  <si>
    <t>Mức tiêu hao (ca/tấn)</t>
  </si>
  <si>
    <t>Trạm cân</t>
  </si>
  <si>
    <t>0,003 kW</t>
  </si>
  <si>
    <t>Hệ thống rửa xe tự động</t>
  </si>
  <si>
    <t>10 kW</t>
  </si>
  <si>
    <t>170 cv</t>
  </si>
  <si>
    <t>220 cv</t>
  </si>
  <si>
    <t>dung tích gầu 0,8 m³</t>
  </si>
  <si>
    <t>Máy phun vật liệu phủ trung gian (PSA 3000 và tương đương)</t>
  </si>
  <si>
    <t>15 cv</t>
  </si>
  <si>
    <t>Xe bồn</t>
  </si>
  <si>
    <t>6,0 m³</t>
  </si>
  <si>
    <t>10 m³</t>
  </si>
  <si>
    <t>Xe ô tô tải thùng tự đổ</t>
  </si>
  <si>
    <t>tải trọng 02 tấn</t>
  </si>
  <si>
    <t>tải trọng ≤ 10 tấn</t>
  </si>
  <si>
    <t>Bơm điện</t>
  </si>
  <si>
    <t>5.0 kW</t>
  </si>
  <si>
    <t>7,5 kW</t>
  </si>
  <si>
    <t>22 kW</t>
  </si>
  <si>
    <t>Bơm xăng</t>
  </si>
  <si>
    <t>5,0 cv</t>
  </si>
  <si>
    <t>Bơm diesel</t>
  </si>
  <si>
    <t>Máy phun hóa chất</t>
  </si>
  <si>
    <t>3,0 cv</t>
  </si>
  <si>
    <t>2. Định mức sử dụng máy móc, thiết bị</t>
  </si>
  <si>
    <t>Bảng số 47</t>
  </si>
  <si>
    <t>1.2. Định biên, định mức</t>
  </si>
  <si>
    <t>3. Định mức sử dụng dụng cụ lao động</t>
  </si>
  <si>
    <t>Bảng số 48</t>
  </si>
  <si>
    <t>Găng tay cao su</t>
  </si>
  <si>
    <t>Cào có cán</t>
  </si>
  <si>
    <t>Xe rùa</t>
  </si>
  <si>
    <t>Rào chắn</t>
  </si>
  <si>
    <t>Gậy chỉ đường</t>
  </si>
  <si>
    <t>Đèn pin</t>
  </si>
  <si>
    <t>1.3</t>
  </si>
  <si>
    <t>1.4</t>
  </si>
  <si>
    <t>1.5</t>
  </si>
  <si>
    <r>
      <t>Máy phun vật liệu phủ trung gian (PSA 3000 và</t>
    </r>
    <r>
      <rPr>
        <sz val="10"/>
        <color rgb="FF000000"/>
        <rFont val="Arial"/>
        <family val="2"/>
      </rPr>
      <t> </t>
    </r>
    <r>
      <rPr>
        <b/>
        <i/>
        <sz val="10"/>
        <color rgb="FF000000"/>
        <rFont val="Arial"/>
        <family val="2"/>
      </rPr>
      <t>tương đương)</t>
    </r>
  </si>
  <si>
    <t>Vận hành cơ sở chôn lấp chất thải rắn sinh hoạt hợp vệ sinh</t>
  </si>
  <si>
    <t>Vận hành máy ủi</t>
  </si>
  <si>
    <t>2.3</t>
  </si>
  <si>
    <t>Vận hành máy đào tải trọng 0,8 m³</t>
  </si>
  <si>
    <t>Vận hành ô tô tải thùng tự đổ tải trọng 10 tấn</t>
  </si>
  <si>
    <t>Vận hành ô tô tải thùng tự đổ tải trọng 2 tấn</t>
  </si>
  <si>
    <t>2.6</t>
  </si>
  <si>
    <t>2.7</t>
  </si>
  <si>
    <r>
      <t>Vận hành xe hút</t>
    </r>
    <r>
      <rPr>
        <sz val="10"/>
        <color rgb="FF000000"/>
        <rFont val="Arial"/>
        <family val="2"/>
      </rPr>
      <t> </t>
    </r>
    <r>
      <rPr>
        <b/>
        <i/>
        <sz val="10"/>
        <color rgb="FF000000"/>
        <rFont val="Arial"/>
        <family val="2"/>
      </rPr>
      <t>bùn</t>
    </r>
  </si>
  <si>
    <t>2.8</t>
  </si>
  <si>
    <t>Thu gom nước thải, khí thải; vệ sinh, rải nilon phủ bề mặt</t>
  </si>
  <si>
    <t>4. Định mức vật liệu</t>
  </si>
  <si>
    <t>Bảng số 49</t>
  </si>
  <si>
    <t>Mức hao phí (tính cho 01 tấn chất thải rắn sinh hoạt)</t>
  </si>
  <si>
    <t>Vôi bột</t>
  </si>
  <si>
    <t>tấn</t>
  </si>
  <si>
    <t>Đất</t>
  </si>
  <si>
    <t>m³</t>
  </si>
  <si>
    <t>Hóa chất diệt ruồi</t>
  </si>
  <si>
    <t>Chế phẩm khử mùi</t>
  </si>
  <si>
    <t>Bạt phủ</t>
  </si>
  <si>
    <t>m²</t>
  </si>
  <si>
    <t>Đá dăm cấp phối</t>
  </si>
  <si>
    <t>Đá dăm kích thước 4 mm x 6 mm</t>
  </si>
  <si>
    <t>Nước thô</t>
  </si>
  <si>
    <t>Ống nhựa</t>
  </si>
  <si>
    <t>m</t>
  </si>
  <si>
    <t>Ống chịu áp lực</t>
  </si>
  <si>
    <t>Vật liệu phủ trung gian (Posi-Shell và tương đương)</t>
  </si>
  <si>
    <t>Vật liệu phủ trung gian (Xtreme-Rain Shield và tương đương)</t>
  </si>
  <si>
    <t>Xi măng PC40</t>
  </si>
  <si>
    <t>5. Định mức tiêu hao năng lượng</t>
  </si>
  <si>
    <t>Bảng số 50</t>
  </si>
  <si>
    <r>
      <t>Đơn vị</t>
    </r>
    <r>
      <rPr>
        <sz val="10"/>
        <color rgb="FF000000"/>
        <rFont val="Arial"/>
        <family val="2"/>
      </rPr>
      <t> </t>
    </r>
    <r>
      <rPr>
        <b/>
        <sz val="10"/>
        <color rgb="FF000000"/>
        <rFont val="Arial"/>
        <family val="2"/>
      </rPr>
      <t>tính</t>
    </r>
  </si>
  <si>
    <t>Mức tiêu hao (kWh/tấn)</t>
  </si>
  <si>
    <t>Bơm điện 5,0 kW</t>
  </si>
  <si>
    <t>Bơm điện 7,5 kW</t>
  </si>
  <si>
    <t>Bơm điện 22 kW</t>
  </si>
  <si>
    <t>6. Định mức tiêu hao nhiên liệu</t>
  </si>
  <si>
    <t>Bảng số 51</t>
  </si>
  <si>
    <t>Danh mục nhiên liệu</t>
  </si>
  <si>
    <t>Mức tiêu hao (lít/tấn)</t>
  </si>
  <si>
    <t>Dầu diesel vận hành cơ sở chôn lấp</t>
  </si>
  <si>
    <t>Xăng vận hành cơ sở chôn lấp</t>
  </si>
  <si>
    <t>II. Vận hành cơ sở chôn lấp chất thải rắn sinh hoạt hợp vệ sinh</t>
  </si>
  <si>
    <t>a) Vận hành cơ sở chôn lấp chất thải rắn sinh hoạt hợp vệ sinh bao gồm 02 công đoạn, cụ thể như sau:</t>
  </si>
  <si>
    <t>- Tiếp nhận chất thải rắn sinh hoạt, bao gồm công tác chuẩn bị, tiếp nhận chất thải rắn sinh hoạt, kết thúc ca làm việc;</t>
  </si>
  <si>
    <t>- Xử lý chất thải, bao gồm công tác chuẩn bị, xử lý chất thải, kết thúc ca làm việc.</t>
  </si>
  <si>
    <t>b) Định biên lao động áp dụng cho 07 loại công việc, cụ thể như sau:</t>
  </si>
  <si>
    <t>- XL.2.1: Định mức vận hành cơ sở chôn lấp chất thải rắn sinh hoạt hợp vệ sinh công suất ≤ 250 tấn/ngày; sử dụng vật liệu phủ bằng đất;</t>
  </si>
  <si>
    <t>- XL.2.2: Định mức vận hành cơ sở chôn lấp chất thải rắn sinh hoạt hợp vệ sinh công suất &gt; 250 tấn/ngày đến ≤ 500 tấn/ngày, sử dụng vật liệu phủ bằng đất;</t>
  </si>
  <si>
    <t>- XL.2.3: Định mức vận hành cơ sở chôn lấp chất thải rắn sinh hoạt hợp vệ sinh công suất &gt; 500 tấn/ngày đến ≤ 750 tấn/ngày, sử dụng vật liệu phủ bằng đất;</t>
  </si>
  <si>
    <t>- XL.2.4: Định mức vận hành cơ sở chôn lấp chất thải rắn sinh hoạt hợp vệ sinh công suất &gt; 750 tấn/ngày đến ≤ 1.000 tấn/ngày, sử dụng vật liệu phủ bằng đất;</t>
  </si>
  <si>
    <t>- XL.2.5: Định mức vận hành cơ sở chôn lấp chất thải rắn sinh hoạt hợp vệ sinh công suất &gt; 1.000 tấn/ngày đến ≤ 1.250 tấn/ngày, sử dụng vật liệu phủ bằng đất;</t>
  </si>
  <si>
    <t>- XL.2.6: Định mức vận hành cơ sở chôn lấp chất thải rắn sinh hoạt hợp vệ sinh công suất &gt; 1.250 tấn/ngày đến ≤ 1.500 tấn/ngày, sử dụng vật liệu phủ bằng đất;</t>
  </si>
  <si>
    <t>- XL.2.7: Định mức vận hành cơ sở chôn lấp chất thải rắn sinh hoạt hợp vệ sinh công suất &gt; 1.250 tấn/ngày đến ≤ 1.500 tấn/ngày, sử dụng vật liệu phủ trung gian.</t>
  </si>
  <si>
    <t>Tấn</t>
  </si>
  <si>
    <t>đồng/tấn</t>
  </si>
  <si>
    <t>BẢNG SO SÁNH GIÁ VẬT TƯ</t>
  </si>
  <si>
    <t>Tên vật tư</t>
  </si>
  <si>
    <t>Báo giá 1</t>
  </si>
  <si>
    <t>Báo giá 2</t>
  </si>
  <si>
    <t>Báo giá 3</t>
  </si>
  <si>
    <t>Báo giá 4</t>
  </si>
  <si>
    <t>Giá chọn</t>
  </si>
  <si>
    <t>Nguồn gốc, xuất xứ</t>
  </si>
  <si>
    <t>m2</t>
  </si>
  <si>
    <t>Đá cấp phối D&lt;=4cm</t>
  </si>
  <si>
    <t>CBG T1.2025+CVC</t>
  </si>
  <si>
    <t>Đá cấp phối D&lt;=37.5mm</t>
  </si>
  <si>
    <t>Đá 4x6</t>
  </si>
  <si>
    <t>công</t>
  </si>
  <si>
    <t>b) Xe tải, xe cẩu từ 3,5 tấn đến dưới 7,5 tấn, xe khách từ 20 ghế đến dưới 40 ghế</t>
  </si>
  <si>
    <t>Đơn giá vận hành cơ sở chôn lấp chất thải rắn sinh hoạt hợp vệ sinh - Hộc rác số 07</t>
  </si>
  <si>
    <t>Chi phí xăng dầu</t>
  </si>
  <si>
    <t>Chi phí điện</t>
  </si>
  <si>
    <t>C</t>
  </si>
  <si>
    <t>Giờ thấp điểm</t>
  </si>
  <si>
    <t xml:space="preserve">Giờ bình thường </t>
  </si>
  <si>
    <t xml:space="preserve">Giờ cao điểm </t>
  </si>
  <si>
    <t>Đơn giá bình quân</t>
  </si>
  <si>
    <t>Làm tròn</t>
  </si>
  <si>
    <t>THSD</t>
  </si>
  <si>
    <t>Đơn giá trước thuế</t>
  </si>
  <si>
    <t>(tháng)</t>
  </si>
  <si>
    <t>Thiết bị báo hiệu</t>
  </si>
  <si>
    <t>Xe đẩy tay</t>
  </si>
  <si>
    <t>Đất phủ</t>
  </si>
  <si>
    <t>Quyết định số 2967/QĐ-UBND Ngày 31/12/2024, Ủy ban Nhân dân thành phố Đà Nẵng đã ban hành</t>
  </si>
  <si>
    <t>CBG T1.2025+CVC; CBG tháng 7.2025</t>
  </si>
  <si>
    <t>CBG T1.2025+CVC; CBG tháng 7.2026</t>
  </si>
  <si>
    <t xml:space="preserve">Hóa chất diệt ruồi </t>
  </si>
  <si>
    <t>Ống nhựa HDPE D110mm dày 6,6mm PN10</t>
  </si>
  <si>
    <t>CBG T1.2025 - Trang 130; CBG T7.2025 trang 119;Trang 201</t>
  </si>
  <si>
    <t>Đoạn ống UPVC Dn90 hệ inch(BS) DN 90 x 1.7mm PN 3); hệ mét (ISO) DN 90 x 1.5mm - Thoát</t>
  </si>
  <si>
    <t>CBG T7.2025 trang 119;Trang 205; trang 206</t>
  </si>
  <si>
    <t xml:space="preserve">Chi phí tài chính </t>
  </si>
  <si>
    <t>Nhân công vận hành trạm cân</t>
  </si>
  <si>
    <t>Nhân công tiếp nhận chất thải rắn sinh hoạt</t>
  </si>
  <si>
    <t>Nhân công hướng dẫn phương tiện vận chuyển đổ chất thải vào vị trí tiếp nhận</t>
  </si>
  <si>
    <t>Nhân công phun chế phẩm khử mùi, hóa chất diệt côn trùng, vôi bột trực tiếp lên bề mặt chất thải rắn sinh hoạt</t>
  </si>
  <si>
    <t>Nhân công vận hành cơ sở chôn lấp</t>
  </si>
  <si>
    <t>Nhân công vận hành Máy ủi</t>
  </si>
  <si>
    <t>Nhân công vận hành Máy đào</t>
  </si>
  <si>
    <t>Nhân công vận hành Ô tô tải thùng tự đổ 10 tấn</t>
  </si>
  <si>
    <t>Nhân công vận hành xe bồn</t>
  </si>
  <si>
    <t>Nhân công vận hành thu gom nước thải (vận hành máy bơm các loại), khí thải; vệ sinh khu vực bãi, đường giao thông, khơi thông rãnh thoát nước mưa, rải nilon phủ bề mặt</t>
  </si>
  <si>
    <t>Nhân công vận hành Ô tô tải thùng tự đổ 2 tấn</t>
  </si>
  <si>
    <t>Nhân công vận hành Xe hút bùn</t>
  </si>
  <si>
    <t xml:space="preserve">Vôi </t>
  </si>
  <si>
    <t>lit</t>
  </si>
  <si>
    <t>Hóa chất diệt ruồi (permerthin)</t>
  </si>
  <si>
    <t>Báo giá Công ty SungoupJSC</t>
  </si>
  <si>
    <t>- Đơn giá vật tư lấy theo QĐ số 6672/QĐ-UBND ngày 28/11/2017; Báo giá Công ty SungoupJSC</t>
  </si>
  <si>
    <t>III</t>
  </si>
  <si>
    <t>ĐVT</t>
  </si>
  <si>
    <t>Ký hiệu</t>
  </si>
  <si>
    <t>Thành tiền</t>
  </si>
  <si>
    <r>
      <t>Z</t>
    </r>
    <r>
      <rPr>
        <b/>
        <vertAlign val="subscript"/>
        <sz val="12"/>
        <color theme="1"/>
        <rFont val="Times New Roman"/>
        <family val="1"/>
        <charset val="163"/>
      </rPr>
      <t>TB</t>
    </r>
    <r>
      <rPr>
        <b/>
        <sz val="12"/>
        <color theme="1"/>
        <rFont val="Times New Roman"/>
        <family val="1"/>
        <charset val="163"/>
      </rPr>
      <t xml:space="preserve"> </t>
    </r>
  </si>
  <si>
    <t xml:space="preserve">Tổng chi phí </t>
  </si>
  <si>
    <r>
      <t>C</t>
    </r>
    <r>
      <rPr>
        <vertAlign val="subscript"/>
        <sz val="12"/>
        <color theme="1"/>
        <rFont val="Times New Roman"/>
        <family val="1"/>
        <charset val="163"/>
      </rPr>
      <t>VT</t>
    </r>
  </si>
  <si>
    <r>
      <t>C</t>
    </r>
    <r>
      <rPr>
        <vertAlign val="subscript"/>
        <sz val="12"/>
        <color theme="1"/>
        <rFont val="Times New Roman"/>
        <family val="1"/>
        <charset val="163"/>
      </rPr>
      <t>NC</t>
    </r>
  </si>
  <si>
    <t>c</t>
  </si>
  <si>
    <t>Chi phí máy, thiết bị trực tiếp</t>
  </si>
  <si>
    <r>
      <t>C</t>
    </r>
    <r>
      <rPr>
        <vertAlign val="subscript"/>
        <sz val="12"/>
        <color rgb="FF000000"/>
        <rFont val="Times New Roman"/>
        <family val="1"/>
        <charset val="163"/>
      </rPr>
      <t>CM</t>
    </r>
  </si>
  <si>
    <t>d</t>
  </si>
  <si>
    <t>Chi phí sản xuất chung</t>
  </si>
  <si>
    <r>
      <t>C</t>
    </r>
    <r>
      <rPr>
        <vertAlign val="subscript"/>
        <sz val="12"/>
        <color theme="1"/>
        <rFont val="Times New Roman"/>
        <family val="1"/>
        <charset val="163"/>
      </rPr>
      <t>SXC</t>
    </r>
  </si>
  <si>
    <t>e</t>
  </si>
  <si>
    <t>Chi phí quản lý doanh nghiệp</t>
  </si>
  <si>
    <r>
      <t>C</t>
    </r>
    <r>
      <rPr>
        <vertAlign val="subscript"/>
        <sz val="12"/>
        <color theme="1"/>
        <rFont val="Times New Roman"/>
        <family val="1"/>
        <charset val="163"/>
      </rPr>
      <t>Q</t>
    </r>
  </si>
  <si>
    <t>Doanh thu từ việc bán sản phẩm thu hồi sau quá trình xử xý chất thải sinh hoạt</t>
  </si>
  <si>
    <r>
      <t>Z</t>
    </r>
    <r>
      <rPr>
        <vertAlign val="subscript"/>
        <sz val="12"/>
        <color theme="1"/>
        <rFont val="Times New Roman"/>
        <family val="1"/>
        <charset val="163"/>
      </rPr>
      <t>th</t>
    </r>
  </si>
  <si>
    <t>Tổng khối lượng chất thải rắn (không phải chất thải rắn nguy hại)vận chuyển đến cơ sở xử lý để xử lý</t>
  </si>
  <si>
    <t>Q</t>
  </si>
  <si>
    <t xml:space="preserve"> </t>
  </si>
  <si>
    <t>Tỷ lệ lợi nhuận</t>
  </si>
  <si>
    <t>%</t>
  </si>
  <si>
    <t>P</t>
  </si>
  <si>
    <t>P = 4,5%</t>
  </si>
  <si>
    <t>Giá dịch vụ xử lý 01 tấn CTR (chưa bao gồm thuế giá trị gia tăng VAT và chi phí khấu hao tài sản cố định)</t>
  </si>
  <si>
    <r>
      <t>G</t>
    </r>
    <r>
      <rPr>
        <b/>
        <vertAlign val="subscript"/>
        <sz val="12"/>
        <color theme="1"/>
        <rFont val="Times New Roman"/>
        <family val="1"/>
        <charset val="163"/>
      </rPr>
      <t>XLCTR</t>
    </r>
  </si>
  <si>
    <r>
      <t>G</t>
    </r>
    <r>
      <rPr>
        <b/>
        <vertAlign val="subscript"/>
        <sz val="12"/>
        <color theme="1"/>
        <rFont val="Times New Roman"/>
        <family val="1"/>
        <charset val="163"/>
      </rPr>
      <t>XLCTR</t>
    </r>
    <r>
      <rPr>
        <b/>
        <sz val="12"/>
        <color theme="1"/>
        <rFont val="Times New Roman"/>
        <family val="1"/>
        <charset val="163"/>
      </rPr>
      <t>= Z</t>
    </r>
    <r>
      <rPr>
        <b/>
        <vertAlign val="subscript"/>
        <sz val="12"/>
        <color theme="1"/>
        <rFont val="Times New Roman"/>
        <family val="1"/>
        <charset val="163"/>
      </rPr>
      <t>TB</t>
    </r>
    <r>
      <rPr>
        <b/>
        <sz val="12"/>
        <color theme="1"/>
        <rFont val="Times New Roman"/>
        <family val="1"/>
        <charset val="163"/>
      </rPr>
      <t xml:space="preserve"> + (Z</t>
    </r>
    <r>
      <rPr>
        <b/>
        <vertAlign val="subscript"/>
        <sz val="12"/>
        <color theme="1"/>
        <rFont val="Times New Roman"/>
        <family val="1"/>
        <charset val="163"/>
      </rPr>
      <t>TB</t>
    </r>
    <r>
      <rPr>
        <b/>
        <sz val="12"/>
        <color theme="1"/>
        <rFont val="Times New Roman"/>
        <family val="1"/>
        <charset val="163"/>
      </rPr>
      <t>*P)</t>
    </r>
  </si>
  <si>
    <r>
      <t>G</t>
    </r>
    <r>
      <rPr>
        <b/>
        <vertAlign val="subscript"/>
        <sz val="12"/>
        <color theme="1"/>
        <rFont val="Times New Roman"/>
        <family val="1"/>
        <charset val="163"/>
      </rPr>
      <t>KH</t>
    </r>
  </si>
  <si>
    <r>
      <t>G</t>
    </r>
    <r>
      <rPr>
        <b/>
        <vertAlign val="subscript"/>
        <sz val="12"/>
        <color theme="1"/>
        <rFont val="Times New Roman"/>
        <family val="1"/>
        <charset val="163"/>
      </rPr>
      <t xml:space="preserve">KH </t>
    </r>
    <r>
      <rPr>
        <b/>
        <sz val="12"/>
        <color theme="1"/>
        <rFont val="Times New Roman"/>
        <family val="1"/>
        <charset val="163"/>
      </rPr>
      <t>= G</t>
    </r>
    <r>
      <rPr>
        <b/>
        <vertAlign val="subscript"/>
        <sz val="12"/>
        <color theme="1"/>
        <rFont val="Times New Roman"/>
        <family val="1"/>
        <charset val="163"/>
      </rPr>
      <t xml:space="preserve">kh1 </t>
    </r>
    <r>
      <rPr>
        <b/>
        <sz val="12"/>
        <color theme="1"/>
        <rFont val="Times New Roman"/>
        <family val="1"/>
        <charset val="163"/>
      </rPr>
      <t>+ G</t>
    </r>
    <r>
      <rPr>
        <b/>
        <vertAlign val="subscript"/>
        <sz val="12"/>
        <color theme="1"/>
        <rFont val="Times New Roman"/>
        <family val="1"/>
        <charset val="163"/>
      </rPr>
      <t>kh2</t>
    </r>
  </si>
  <si>
    <r>
      <t>G</t>
    </r>
    <r>
      <rPr>
        <vertAlign val="subscript"/>
        <sz val="12"/>
        <color theme="1"/>
        <rFont val="Times New Roman"/>
        <family val="1"/>
        <charset val="163"/>
      </rPr>
      <t>kh1</t>
    </r>
  </si>
  <si>
    <t>Chi phí khấu hao các tài sản cố định còn lại</t>
  </si>
  <si>
    <r>
      <t>G</t>
    </r>
    <r>
      <rPr>
        <vertAlign val="subscript"/>
        <sz val="12"/>
        <color theme="1"/>
        <rFont val="Times New Roman"/>
        <family val="1"/>
        <charset val="163"/>
      </rPr>
      <t>kh2</t>
    </r>
  </si>
  <si>
    <r>
      <t>G</t>
    </r>
    <r>
      <rPr>
        <b/>
        <vertAlign val="subscript"/>
        <sz val="12"/>
        <color theme="1"/>
        <rFont val="Times New Roman"/>
        <family val="1"/>
        <charset val="163"/>
      </rPr>
      <t>DVXL</t>
    </r>
  </si>
  <si>
    <r>
      <t>G</t>
    </r>
    <r>
      <rPr>
        <b/>
        <vertAlign val="subscript"/>
        <sz val="12"/>
        <color theme="1"/>
        <rFont val="Times New Roman"/>
        <family val="1"/>
        <charset val="163"/>
      </rPr>
      <t xml:space="preserve">DVXL </t>
    </r>
    <r>
      <rPr>
        <b/>
        <sz val="12"/>
        <color theme="1"/>
        <rFont val="Times New Roman"/>
        <family val="1"/>
        <charset val="163"/>
      </rPr>
      <t>= G</t>
    </r>
    <r>
      <rPr>
        <b/>
        <vertAlign val="subscript"/>
        <sz val="12"/>
        <color theme="1"/>
        <rFont val="Times New Roman"/>
        <family val="1"/>
        <charset val="163"/>
      </rPr>
      <t>XLCTR</t>
    </r>
    <r>
      <rPr>
        <b/>
        <sz val="12"/>
        <color theme="1"/>
        <rFont val="Times New Roman"/>
        <family val="1"/>
        <charset val="163"/>
      </rPr>
      <t xml:space="preserve"> + G</t>
    </r>
    <r>
      <rPr>
        <b/>
        <vertAlign val="subscript"/>
        <sz val="12"/>
        <color theme="1"/>
        <rFont val="Times New Roman"/>
        <family val="1"/>
        <charset val="163"/>
      </rPr>
      <t>KH</t>
    </r>
  </si>
  <si>
    <r>
      <t>C</t>
    </r>
    <r>
      <rPr>
        <vertAlign val="subscript"/>
        <sz val="12"/>
        <color theme="1"/>
        <rFont val="Times New Roman"/>
        <family val="1"/>
        <charset val="163"/>
      </rPr>
      <t>tc</t>
    </r>
  </si>
  <si>
    <r>
      <t>C</t>
    </r>
    <r>
      <rPr>
        <b/>
        <vertAlign val="subscript"/>
        <sz val="12"/>
        <color theme="1"/>
        <rFont val="Times New Roman"/>
        <family val="1"/>
        <charset val="163"/>
      </rPr>
      <t>T</t>
    </r>
  </si>
  <si>
    <r>
      <t>C</t>
    </r>
    <r>
      <rPr>
        <b/>
        <vertAlign val="subscript"/>
        <sz val="12"/>
        <color theme="1"/>
        <rFont val="Times New Roman"/>
        <family val="1"/>
        <charset val="163"/>
      </rPr>
      <t xml:space="preserve">T </t>
    </r>
    <r>
      <rPr>
        <b/>
        <sz val="12"/>
        <color theme="1"/>
        <rFont val="Times New Roman"/>
        <family val="1"/>
        <charset val="163"/>
      </rPr>
      <t>= C</t>
    </r>
    <r>
      <rPr>
        <b/>
        <vertAlign val="subscript"/>
        <sz val="12"/>
        <color theme="1"/>
        <rFont val="Times New Roman"/>
        <family val="1"/>
        <charset val="163"/>
      </rPr>
      <t>VT</t>
    </r>
    <r>
      <rPr>
        <b/>
        <sz val="12"/>
        <color theme="1"/>
        <rFont val="Times New Roman"/>
        <family val="1"/>
        <charset val="163"/>
      </rPr>
      <t xml:space="preserve"> + C</t>
    </r>
    <r>
      <rPr>
        <b/>
        <vertAlign val="subscript"/>
        <sz val="12"/>
        <color theme="1"/>
        <rFont val="Times New Roman"/>
        <family val="1"/>
        <charset val="163"/>
      </rPr>
      <t xml:space="preserve">NC </t>
    </r>
    <r>
      <rPr>
        <b/>
        <sz val="12"/>
        <color theme="1"/>
        <rFont val="Times New Roman"/>
        <family val="1"/>
        <charset val="163"/>
      </rPr>
      <t>+ C</t>
    </r>
    <r>
      <rPr>
        <b/>
        <vertAlign val="subscript"/>
        <sz val="12"/>
        <color theme="1"/>
        <rFont val="Times New Roman"/>
        <family val="1"/>
        <charset val="163"/>
      </rPr>
      <t>CM</t>
    </r>
    <r>
      <rPr>
        <b/>
        <sz val="12"/>
        <color theme="1"/>
        <rFont val="Times New Roman"/>
        <family val="1"/>
        <charset val="163"/>
      </rPr>
      <t xml:space="preserve"> + C</t>
    </r>
    <r>
      <rPr>
        <b/>
        <vertAlign val="subscript"/>
        <sz val="12"/>
        <color theme="1"/>
        <rFont val="Times New Roman"/>
        <family val="1"/>
        <charset val="163"/>
      </rPr>
      <t xml:space="preserve">SXC </t>
    </r>
    <r>
      <rPr>
        <b/>
        <sz val="12"/>
        <color theme="1"/>
        <rFont val="Times New Roman"/>
        <family val="1"/>
        <charset val="163"/>
      </rPr>
      <t>+</t>
    </r>
    <r>
      <rPr>
        <b/>
        <vertAlign val="subscript"/>
        <sz val="12"/>
        <color theme="1"/>
        <rFont val="Times New Roman"/>
        <family val="1"/>
        <charset val="163"/>
      </rPr>
      <t xml:space="preserve"> </t>
    </r>
    <r>
      <rPr>
        <b/>
        <sz val="12"/>
        <color theme="1"/>
        <rFont val="Times New Roman"/>
        <family val="1"/>
        <charset val="163"/>
      </rPr>
      <t>C</t>
    </r>
    <r>
      <rPr>
        <b/>
        <vertAlign val="subscript"/>
        <sz val="12"/>
        <color theme="1"/>
        <rFont val="Times New Roman"/>
        <family val="1"/>
        <charset val="163"/>
      </rPr>
      <t>Q</t>
    </r>
  </si>
  <si>
    <r>
      <t>Z</t>
    </r>
    <r>
      <rPr>
        <b/>
        <vertAlign val="subscript"/>
        <sz val="12"/>
        <color theme="1"/>
        <rFont val="Times New Roman"/>
        <family val="1"/>
        <charset val="163"/>
      </rPr>
      <t>TB</t>
    </r>
    <r>
      <rPr>
        <b/>
        <sz val="12"/>
        <color theme="1"/>
        <rFont val="Times New Roman"/>
        <family val="1"/>
        <charset val="163"/>
      </rPr>
      <t xml:space="preserve"> = (C</t>
    </r>
    <r>
      <rPr>
        <b/>
        <vertAlign val="subscript"/>
        <sz val="12"/>
        <color theme="1"/>
        <rFont val="Times New Roman"/>
        <family val="1"/>
        <charset val="163"/>
      </rPr>
      <t>T</t>
    </r>
    <r>
      <rPr>
        <b/>
        <sz val="12"/>
        <color theme="1"/>
        <rFont val="Times New Roman"/>
        <family val="1"/>
        <charset val="163"/>
      </rPr>
      <t xml:space="preserve"> - Z</t>
    </r>
    <r>
      <rPr>
        <b/>
        <vertAlign val="subscript"/>
        <sz val="12"/>
        <color theme="1"/>
        <rFont val="Times New Roman"/>
        <family val="1"/>
        <charset val="163"/>
      </rPr>
      <t>th</t>
    </r>
    <r>
      <rPr>
        <b/>
        <sz val="12"/>
        <color theme="1"/>
        <rFont val="Times New Roman"/>
        <family val="1"/>
        <charset val="163"/>
      </rPr>
      <t>)</t>
    </r>
  </si>
  <si>
    <t>Chi phí khấu hao phần xây dựng</t>
  </si>
  <si>
    <t>Giá dịch vụ xử lý 01 tấn CTR đã gồm VAT (chưa bao gồm chi phí khấu hao tài sản cố định)</t>
  </si>
  <si>
    <r>
      <t>G</t>
    </r>
    <r>
      <rPr>
        <b/>
        <vertAlign val="subscript"/>
        <sz val="12"/>
        <color theme="1"/>
        <rFont val="Times New Roman"/>
        <family val="1"/>
        <charset val="163"/>
      </rPr>
      <t>XLCTR VAT</t>
    </r>
  </si>
  <si>
    <r>
      <t>G =G</t>
    </r>
    <r>
      <rPr>
        <b/>
        <vertAlign val="subscript"/>
        <sz val="12"/>
        <color theme="1"/>
        <rFont val="Times New Roman"/>
        <family val="1"/>
        <charset val="163"/>
      </rPr>
      <t xml:space="preserve">XLCTR </t>
    </r>
    <r>
      <rPr>
        <sz val="12"/>
        <color theme="1"/>
        <rFont val="Times New Roman"/>
        <family val="1"/>
        <charset val="163"/>
      </rPr>
      <t xml:space="preserve"> *</t>
    </r>
    <r>
      <rPr>
        <b/>
        <sz val="12"/>
        <color theme="1"/>
        <rFont val="Times New Roman"/>
        <family val="1"/>
        <charset val="163"/>
      </rPr>
      <t>1,1</t>
    </r>
  </si>
  <si>
    <t>Tổng cộng (A+B) (Chưa bao gồm thuế VAT)</t>
  </si>
  <si>
    <t>Tổng cộng (A+B) (Đã bao gồm thuế VAT)</t>
  </si>
  <si>
    <t>Chi phí khấu hao tài sản cố định của Dự án</t>
  </si>
  <si>
    <r>
      <t>G</t>
    </r>
    <r>
      <rPr>
        <b/>
        <vertAlign val="subscript"/>
        <sz val="12"/>
        <color theme="1"/>
        <rFont val="Times New Roman"/>
        <family val="1"/>
        <charset val="163"/>
      </rPr>
      <t xml:space="preserve">DVXL VAT </t>
    </r>
    <r>
      <rPr>
        <b/>
        <sz val="12"/>
        <color theme="1"/>
        <rFont val="Times New Roman"/>
        <family val="1"/>
        <charset val="163"/>
      </rPr>
      <t>= G</t>
    </r>
    <r>
      <rPr>
        <b/>
        <vertAlign val="subscript"/>
        <sz val="12"/>
        <color theme="1"/>
        <rFont val="Times New Roman"/>
        <family val="1"/>
        <charset val="163"/>
      </rPr>
      <t>DVXL</t>
    </r>
    <r>
      <rPr>
        <b/>
        <sz val="12"/>
        <color theme="1"/>
        <rFont val="Times New Roman"/>
        <family val="1"/>
        <charset val="163"/>
      </rPr>
      <t xml:space="preserve"> x 1,1</t>
    </r>
  </si>
  <si>
    <t>Hao phí định mức vận dụng theo TT 36/2024/TT-BTNMT</t>
  </si>
  <si>
    <t>Bạt phủ HDPE dày 1mm</t>
  </si>
  <si>
    <t xml:space="preserve"> - Báo giá 1: Công ty Cổ phần An Thịnh Nam
- Báo giá 2: Công ty Cổ phần sản xuất đầu tư xây dựng Hưng Việt
- Báo giá 3: Công Ty TNHH Thương mại Tư vấn Đầu tư môi trường An Phúc Hưng
- Báo giá 4: Công ty Tenico
- Báo giá 5: Công ty Hạ tầng việt</t>
  </si>
  <si>
    <t>Chế phẩm khử mùi - Bio-Systems BioBug WHC</t>
  </si>
  <si>
    <t>CÔNG TY TNHH PROBIOTIC</t>
  </si>
  <si>
    <t>Tiền ăn giữa ca</t>
  </si>
  <si>
    <t>f</t>
  </si>
  <si>
    <t>ca</t>
  </si>
  <si>
    <t>Sửa chữa</t>
  </si>
  <si>
    <t>Chi phí khác</t>
  </si>
  <si>
    <t>Máy đào dung tích gầu 0,8m3</t>
  </si>
  <si>
    <t>Bơm điện 5kW</t>
  </si>
  <si>
    <t>Bơm điện 7,5kW</t>
  </si>
  <si>
    <t>Bơm điện 22kW</t>
  </si>
  <si>
    <t>Xe hút bùn 3m3</t>
  </si>
  <si>
    <t>Xe ô tô tải thùng tự đổ tải trọng 2 tấn</t>
  </si>
  <si>
    <t>Chi phí nhân công phân xưởng</t>
  </si>
  <si>
    <t>Chi phí vật tư dùng cho phân xưởng</t>
  </si>
  <si>
    <t>Chi phí khấu hao tài sản cố định dùng trong hoạt động của phân xưởng</t>
  </si>
  <si>
    <t>Chi phí bằng tiền hợp lý hợp lệ khác</t>
  </si>
  <si>
    <t>Đồng</t>
  </si>
  <si>
    <t>Đơn giá
(đồng/tấn)</t>
  </si>
  <si>
    <t>Găng tay chống axit</t>
  </si>
  <si>
    <t>Kính bảo hộ</t>
  </si>
  <si>
    <t>Đồ bảo hộ chống axit</t>
  </si>
  <si>
    <t>Ủng hóa chất</t>
  </si>
  <si>
    <t>Trang phục hóa nghiệm</t>
  </si>
  <si>
    <t>BẢNG 01. CHIẾT TÍNH ĐƠN GIÁ VẬT TƯ TRỰC TIẾP</t>
  </si>
  <si>
    <t>Bảng 01</t>
  </si>
  <si>
    <t>Bảng 02</t>
  </si>
  <si>
    <t>Bảng 03</t>
  </si>
  <si>
    <t>Bảng 04</t>
  </si>
  <si>
    <t>Bảng 05</t>
  </si>
  <si>
    <t>Bảng 06</t>
  </si>
  <si>
    <t xml:space="preserve"> - Báo giá 1: Công Ty TNHH MTV VLXD Kiên Cường
- Báo giá 2: Công ty TNHH XD Thương mại Tân Gia Phát Đà Nẵng
- Báo giá 3: Công ty TNHH Phúc Đắc Thành
- Giá đất tận dụng tính đào và vận chuyển</t>
  </si>
  <si>
    <t>Chốt số ĐM ngày 02/12/2025</t>
  </si>
  <si>
    <t>Theo ĐM công bố</t>
  </si>
  <si>
    <t>Hao phí lựa chọn</t>
  </si>
  <si>
    <r>
      <t>THSD</t>
    </r>
    <r>
      <rPr>
        <sz val="10"/>
        <color rgb="FF000000"/>
        <rFont val="Aptos Display"/>
        <family val="1"/>
        <charset val="163"/>
        <scheme val="major"/>
      </rPr>
      <t> </t>
    </r>
    <r>
      <rPr>
        <b/>
        <sz val="10"/>
        <color rgb="FF000000"/>
        <rFont val="Aptos Display"/>
        <family val="1"/>
        <charset val="163"/>
        <scheme val="major"/>
      </rPr>
      <t>(tháng)</t>
    </r>
  </si>
  <si>
    <r>
      <t>Máy phun vật liệu phủ trung gian (PSA 3000 và</t>
    </r>
    <r>
      <rPr>
        <sz val="10"/>
        <color rgb="FF000000"/>
        <rFont val="Aptos Display"/>
        <family val="1"/>
        <charset val="163"/>
        <scheme val="major"/>
      </rPr>
      <t> </t>
    </r>
    <r>
      <rPr>
        <b/>
        <i/>
        <sz val="10"/>
        <color rgb="FF000000"/>
        <rFont val="Aptos Display"/>
        <family val="1"/>
        <charset val="163"/>
        <scheme val="major"/>
      </rPr>
      <t>tương đương)</t>
    </r>
  </si>
  <si>
    <r>
      <t>Vận hành xe hút</t>
    </r>
    <r>
      <rPr>
        <sz val="10"/>
        <color rgb="FF000000"/>
        <rFont val="Aptos Display"/>
        <family val="1"/>
        <charset val="163"/>
        <scheme val="major"/>
      </rPr>
      <t> </t>
    </r>
    <r>
      <rPr>
        <b/>
        <i/>
        <sz val="10"/>
        <color rgb="FF000000"/>
        <rFont val="Aptos Display"/>
        <family val="1"/>
        <charset val="163"/>
        <scheme val="major"/>
      </rPr>
      <t>bùn</t>
    </r>
  </si>
  <si>
    <r>
      <t>3,0 m</t>
    </r>
    <r>
      <rPr>
        <vertAlign val="superscript"/>
        <sz val="10"/>
        <color rgb="FF000000"/>
        <rFont val="Aptos Display"/>
        <family val="1"/>
        <charset val="163"/>
        <scheme val="major"/>
      </rPr>
      <t>3</t>
    </r>
  </si>
  <si>
    <r>
      <t>Hạng mục công</t>
    </r>
    <r>
      <rPr>
        <sz val="10"/>
        <color rgb="FF000000"/>
        <rFont val="Aptos Display"/>
        <family val="1"/>
        <charset val="163"/>
        <scheme val="major"/>
      </rPr>
      <t> </t>
    </r>
    <r>
      <rPr>
        <b/>
        <sz val="10"/>
        <color rgb="FF000000"/>
        <rFont val="Aptos Display"/>
        <family val="1"/>
        <charset val="163"/>
        <scheme val="major"/>
      </rPr>
      <t>việc</t>
    </r>
  </si>
  <si>
    <r>
      <t>Định</t>
    </r>
    <r>
      <rPr>
        <sz val="10"/>
        <color rgb="FF000000"/>
        <rFont val="Aptos Display"/>
        <family val="1"/>
        <charset val="163"/>
        <scheme val="major"/>
      </rPr>
      <t> </t>
    </r>
    <r>
      <rPr>
        <b/>
        <sz val="10"/>
        <color rgb="FF000000"/>
        <rFont val="Aptos Display"/>
        <family val="1"/>
        <charset val="163"/>
        <scheme val="major"/>
      </rPr>
      <t>biên</t>
    </r>
  </si>
  <si>
    <t>a.1</t>
  </si>
  <si>
    <t>a.2</t>
  </si>
  <si>
    <t>a.3</t>
  </si>
  <si>
    <t>a.4</t>
  </si>
  <si>
    <t>Thành phố Đà nẵng – Hộc rác số 6 (năm 2023): 92.689 đồng/tấn rác với giá chưa gồm khấu hao là 64.255 đồng/tấn rác.</t>
  </si>
  <si>
    <t>Thành phố Hà Nội (năm 2015): 84.368 đồng/tấn (Theo Quyết định số 510/QĐ-UBND ngày 30/01/2015 của UBND thành phố Hà Nội).</t>
  </si>
  <si>
    <t>Thành phố Ninh Bình (năm 2016): 92.300 đồng/tấn.</t>
  </si>
  <si>
    <t>Tỉnh An Giang (năm 2020): 119.000 đồng/tấn (Theo Quyết định số 33/2020/QĐ-UBND ngày 13/8/2020 của UBND tỉnh An Giang);</t>
  </si>
  <si>
    <t>Thành phố Đà nẵng – Hộc rác số 7 (năm 2023)</t>
  </si>
  <si>
    <t>Thời gian phê duyệt</t>
  </si>
  <si>
    <t>Giá</t>
  </si>
  <si>
    <t>Tỷ lệ so sánh</t>
  </si>
  <si>
    <t>Nội dung so sánh</t>
  </si>
  <si>
    <t>THSD (tháng)</t>
  </si>
  <si>
    <t>Đơn vị đề nghị</t>
  </si>
  <si>
    <t>SNNMT kiểm tra</t>
  </si>
  <si>
    <t>Số ngày (ngày)</t>
  </si>
  <si>
    <t>Giá tiêu hao theo ca cho công cụ dụng cụ (đồng/ca)</t>
  </si>
  <si>
    <t>Định mức (ca/tấn)</t>
  </si>
  <si>
    <t>Đơn giá (đồng/ca)</t>
  </si>
  <si>
    <r>
      <t>Vận hành xe hút</t>
    </r>
    <r>
      <rPr>
        <sz val="12"/>
        <color rgb="FF000000"/>
        <rFont val="Aptos Display"/>
        <family val="1"/>
        <charset val="163"/>
        <scheme val="major"/>
      </rPr>
      <t> </t>
    </r>
    <r>
      <rPr>
        <b/>
        <i/>
        <sz val="12"/>
        <color rgb="FF000000"/>
        <rFont val="Aptos Display"/>
        <family val="1"/>
        <charset val="163"/>
        <scheme val="major"/>
      </rPr>
      <t>bùn</t>
    </r>
  </si>
  <si>
    <t>Thành tiền (đồng/tấn)</t>
  </si>
  <si>
    <t>Tổng cộng</t>
  </si>
  <si>
    <t>(1)</t>
  </si>
  <si>
    <t>(2)</t>
  </si>
  <si>
    <t>(3)</t>
  </si>
  <si>
    <t>(4)</t>
  </si>
  <si>
    <t>(5)</t>
  </si>
  <si>
    <t>(6)</t>
  </si>
  <si>
    <t>(7)</t>
  </si>
  <si>
    <t>(8)</t>
  </si>
  <si>
    <t>(9)</t>
  </si>
  <si>
    <t>(12)</t>
  </si>
  <si>
    <t>Hệ số điều chỉnh tiền lương tăng thêm</t>
  </si>
  <si>
    <t>Nhóm, cấp bậc</t>
  </si>
  <si>
    <t>Hệ số phụ cấp lương (nặng nhọc, độc hại, lưu động,...)
(Hpc)</t>
  </si>
  <si>
    <t>Mức lương cơ sở (MLcs)</t>
  </si>
  <si>
    <t>Chế độ khác (BHXH, BHYT, BHTN do người sử dụng lao động đóng 23,5%)</t>
  </si>
  <si>
    <t>Tổng số ngày công định mức lao động (ngày)</t>
  </si>
  <si>
    <t>Đơn giá nhân công lao động</t>
  </si>
  <si>
    <t>NC III.IV</t>
  </si>
  <si>
    <t>NC II.IV</t>
  </si>
  <si>
    <t>LX II</t>
  </si>
  <si>
    <t>LX III</t>
  </si>
  <si>
    <t>Vận hành xe bồn 10m3</t>
  </si>
  <si>
    <t>Hệ số lương (Hcb)</t>
  </si>
  <si>
    <t>Định mức lao động (công nhóm/tấn)</t>
  </si>
  <si>
    <t>Định biên</t>
  </si>
  <si>
    <t>Giờ hoạt động/tuần</t>
  </si>
  <si>
    <t>Đơn giá (đồng/công nhóm)</t>
  </si>
  <si>
    <t>Mức tiêu hao</t>
  </si>
  <si>
    <t>kWh/tấn</t>
  </si>
  <si>
    <t>lít/tấn</t>
  </si>
  <si>
    <t>Đơn giá (đồng/kWh)</t>
  </si>
  <si>
    <t>Đơn giá (đồng/lít)</t>
  </si>
  <si>
    <r>
      <t>Xe bồn 10 m</t>
    </r>
    <r>
      <rPr>
        <vertAlign val="superscript"/>
        <sz val="12"/>
        <color theme="1"/>
        <rFont val="Times New Roman"/>
        <family val="1"/>
      </rPr>
      <t xml:space="preserve">3 </t>
    </r>
  </si>
  <si>
    <r>
      <t xml:space="preserve">Xe ô tô tải thùng tự đổ tải trọng </t>
    </r>
    <r>
      <rPr>
        <sz val="12"/>
        <color theme="1"/>
        <rFont val="Calibri"/>
        <family val="2"/>
      </rPr>
      <t>≤</t>
    </r>
    <r>
      <rPr>
        <sz val="12"/>
        <color theme="1"/>
        <rFont val="Times New Roman"/>
        <family val="1"/>
      </rPr>
      <t xml:space="preserve"> 10 tấn</t>
    </r>
  </si>
  <si>
    <t>Trạm cân 0,003 kW</t>
  </si>
  <si>
    <t>Hệ thống rửa xe tự động 10 kW</t>
  </si>
  <si>
    <t>Máy ủi 220 cv</t>
  </si>
  <si>
    <t>Bơm xăng 5 cv</t>
  </si>
  <si>
    <t>Bơm diesel 15 cv</t>
  </si>
  <si>
    <t>Máy phun hóa chất 3 cv</t>
  </si>
  <si>
    <t xml:space="preserve">Mức tiêu hao </t>
  </si>
  <si>
    <t>ĐVT (ca/tấn)</t>
  </si>
  <si>
    <t>Mức hao phí</t>
  </si>
  <si>
    <t xml:space="preserve">Chế phẩm khử mùi </t>
  </si>
  <si>
    <t xml:space="preserve">Ống nhựa </t>
  </si>
  <si>
    <t xml:space="preserve">Ống chịu áp lực </t>
  </si>
  <si>
    <t xml:space="preserve">Bạt phủ </t>
  </si>
  <si>
    <t xml:space="preserve">tấn </t>
  </si>
  <si>
    <t>Đơn giá theo QĐ 6672/QĐ-UBND ngày 28/11/2017</t>
  </si>
  <si>
    <t xml:space="preserve">Đơn giá </t>
  </si>
  <si>
    <t>Đvt: Đồng/tấn</t>
  </si>
  <si>
    <t>Phụ lục I.1</t>
  </si>
  <si>
    <t>BẢNG TỔNG HỢP TÍNH TOÁN GIÁ DỊCH VỤ GIÁ DỊCH VỤ XỬ LÝ CHẤT THẢI RẮN (KHÔNG PHẢI CHẤT THẢI RẮN NGUY HẠI) CỦA DỰ ÁN ĐẦU TƯ, NÂNG CẤP, CẢI TẠO MỘT SỐ HẠNG MỤC KHU LIÊN HỢP XỬ LÝ CHẤT THẢI RẮN KHÁNH SƠN GIAI ĐOẠN 2 (HỘC RÁC SỐ 7 KHU VỰC BÃI RÁC KHÁNH SƠN)</t>
  </si>
  <si>
    <t>Giá thành toàn bộ để xử lý 01 tấn chất thải rắn (không phải chất thải rắn nguy hại)</t>
  </si>
  <si>
    <t>đ</t>
  </si>
  <si>
    <t xml:space="preserve">Chi phí hợp lý, hợp lệ khác (nếu có) theo quy định phục vụ sản xuất </t>
  </si>
  <si>
    <r>
      <t>C</t>
    </r>
    <r>
      <rPr>
        <vertAlign val="subscript"/>
        <sz val="12"/>
        <color theme="1"/>
        <rFont val="Times New Roman"/>
        <family val="1"/>
      </rPr>
      <t>K</t>
    </r>
  </si>
  <si>
    <t>Không phát sinh chi phí này.</t>
  </si>
  <si>
    <t>CHI PHÍ VẬT TƯ TRỰC TIẾP</t>
  </si>
  <si>
    <t>Phụ lục III</t>
  </si>
  <si>
    <t>CHI PHÍ NHÂN CÔNG TRỰC TIẾP</t>
  </si>
  <si>
    <t>ĐƠN GIÁ NHÂN CÔNG</t>
  </si>
  <si>
    <t>Phụ lục IV</t>
  </si>
  <si>
    <t>CHI PHÍ MÁY, THIẾT BỊ TRỰC TIẾP</t>
  </si>
  <si>
    <t>Phụ lục V</t>
  </si>
  <si>
    <t>Phụ lục VI</t>
  </si>
  <si>
    <t>Chi phí</t>
  </si>
  <si>
    <t>Chi phí dụng cụ lao động</t>
  </si>
  <si>
    <t>Chi phí vật liệu</t>
  </si>
  <si>
    <t>Chi phí tiêu hao năng lượng</t>
  </si>
  <si>
    <t>Chi phí tiêu hao nhiên liệu</t>
  </si>
  <si>
    <t>Phụ lục II.1</t>
  </si>
  <si>
    <t>Phụ lục II.2</t>
  </si>
  <si>
    <t>CHI PHÍ DỤNG CỤ LAO ĐỘNG</t>
  </si>
  <si>
    <t>Phụ lục II.3</t>
  </si>
  <si>
    <t>ĐƠN GIÁ DỤNG CỤ LAO ĐỘNG</t>
  </si>
  <si>
    <t>Phụ lục II.4</t>
  </si>
  <si>
    <t>CHI PHÍ VẬT LIỆU</t>
  </si>
  <si>
    <t>Phụ lục II.5</t>
  </si>
  <si>
    <t>CHI PHÍ TIÊU HAO NĂNG LƯỢNG</t>
  </si>
  <si>
    <t>ĐƠN GIÁ NĂNG LƯỢNG</t>
  </si>
  <si>
    <t>Phụ lục II.6</t>
  </si>
  <si>
    <t>Phụ lục II.7</t>
  </si>
  <si>
    <t>CHI PHÍ TIÊU HAO NHIÊN LIỆU</t>
  </si>
  <si>
    <t>Chi tiết tại Phụ lục II.4</t>
  </si>
  <si>
    <t>Chi tiết tại Phụ lục II.5</t>
  </si>
  <si>
    <t>Chi tiết tại Phụ lục II.7</t>
  </si>
  <si>
    <t>Chi phí bán hàng (nếu có)</t>
  </si>
  <si>
    <t>Chi phí quản lý (nếu có)</t>
  </si>
  <si>
    <t>Chi phí tài chính (nếu có)</t>
  </si>
  <si>
    <t>Giá thành để xử lý 01 tấn chất thải rắn (không phải chất thải rắn nguy hại)</t>
  </si>
  <si>
    <t>Sản lượng tính giá dịch vụ xử lý chất thải rắn (không phải chất thải rắn nguy hại)</t>
  </si>
  <si>
    <t>B=1+2+3+4+5</t>
  </si>
  <si>
    <t>Chi tiết tại Phụ lục III</t>
  </si>
  <si>
    <t>Chi tiết tại Phụ lục V</t>
  </si>
  <si>
    <t>Đ</t>
  </si>
  <si>
    <t>E</t>
  </si>
  <si>
    <t>Tổng chi phí sản xuất, kinh doanh</t>
  </si>
  <si>
    <t>E=B+C+D+Đ</t>
  </si>
  <si>
    <t>G</t>
  </si>
  <si>
    <t>Giá thành một (01) đơn vị hàng hóa, dịch vụ</t>
  </si>
  <si>
    <t>G=E/A</t>
  </si>
  <si>
    <t>H</t>
  </si>
  <si>
    <t>K</t>
  </si>
  <si>
    <t>L</t>
  </si>
  <si>
    <t>Giá dịch vụ xử lý 01 tấn chất thải rắn (chưa bao gồm thuế giá trị gia tăng VAT và chi phí khấu hao tài sản cố định của dự án)</t>
  </si>
  <si>
    <t>Lợi nhuận</t>
  </si>
  <si>
    <t>I=G+P</t>
  </si>
  <si>
    <t xml:space="preserve">KHỐI LƯỢNG RÁC THẢI DỰ KIẾN ĐƯỢC XỬ LÝ </t>
  </si>
  <si>
    <t>Thời gian vận hành (ngày)</t>
  </si>
  <si>
    <t>Cốt +24.00m</t>
  </si>
  <si>
    <t>Cốt +28.00m</t>
  </si>
  <si>
    <t>Cốt +32.00m</t>
  </si>
  <si>
    <t>Cốt +36.00m</t>
  </si>
  <si>
    <t>Cốt +40.00m</t>
  </si>
  <si>
    <t>Cốt +44.00m</t>
  </si>
  <si>
    <t>Cốt +48.00m</t>
  </si>
  <si>
    <t>Cốt +52.00m</t>
  </si>
  <si>
    <t>Cốt +55.00m</t>
  </si>
  <si>
    <t>Cao độ đổ rác</t>
  </si>
  <si>
    <t>Khối lượng rác xử lý (tấn)</t>
  </si>
  <si>
    <t>Theo Bảng Kế hoạch vận hành bãi dự kiến tại Quy trình vận hành dự án đầu tư, nâng cấp, cải tạo một số hạng mục khu liên hợp xử lý chất thải rắn Khánh Sơn giai đoạn 2 của Ban Quản lý các dự án đầu tư cơ sở hạ tầng ưu tiên thành phố Đà Nẵng.</t>
  </si>
  <si>
    <t>(10)</t>
  </si>
  <si>
    <t>Phụ lục I</t>
  </si>
  <si>
    <t>Chi phí dịch vụ mua ngoài phục vụ cho hoạt động của phân xưởng (trừ chi phí trả cho nhà thầu như làm đường, phủ bạt nạo vét tuyến mương,...)</t>
  </si>
  <si>
    <t>Tổng cộng (I+K) (Chưa bao gồm thuế VAT)</t>
  </si>
  <si>
    <t>PHỤ LỤC VIII</t>
  </si>
  <si>
    <t>KHỐI LƯỢNG RÁC THẢI DỰ KIẾN ĐƯỢC XỬ LÝ NĂM 2024 TẠI HỘC RÁC SỐ 6 BÃI RÁC KHÁNH SƠN</t>
  </si>
  <si>
    <t>Tháng 1/2024</t>
  </si>
  <si>
    <t>Tháng 2/2024</t>
  </si>
  <si>
    <t>Tháng 3/2024</t>
  </si>
  <si>
    <t>Tháng 4/2024</t>
  </si>
  <si>
    <t>Tháng 5/2024</t>
  </si>
  <si>
    <t>Tháng 6/2024</t>
  </si>
  <si>
    <t>Tháng 7/2024</t>
  </si>
  <si>
    <t>Tháng 8/2024</t>
  </si>
  <si>
    <t>Tháng 9/2024</t>
  </si>
  <si>
    <t>Tháng 10/2024</t>
  </si>
  <si>
    <t>Tháng 11/2024</t>
  </si>
  <si>
    <t>Tháng 12/2024</t>
  </si>
  <si>
    <t>Khối lượng (tấn)</t>
  </si>
  <si>
    <t>Số liệu khối lượng quyết toán công tác đặt hàng xử lý chất thải rắn sinh hoạt tại hộc rác số 6 bãi rác Khánh Sơn.</t>
  </si>
  <si>
    <t>BẢNG TỔNG HỢP TÍNH TOÁN GIÁ DỊCH VỤ XỬ LÝ CHẤT THẢI RẮN (KHÔNG PHẢI CHẤT THẢI RẮN NGUY HẠI) CỦA DỰ ÁN ĐẦU TƯ, NÂNG CẤP, CẢI TẠO MỘT SỐ HẠNG MỤC KHU LIÊN HỢP XỬ LÝ CHẤT THẢI RẮN KHÁNH SƠN GIAI ĐOẠN 2 (HỘC RÁC SỐ 7 KHU VỰC BÃI RÁC KHÁNH SƠN)</t>
  </si>
  <si>
    <t>Chi tiết tại Phụ lục II.6</t>
  </si>
  <si>
    <t>*Giá điện (chưa bao gồm thuế VAT) theo Quyết định số 1279/QĐ-BCT ngày 09/5/2025 của Bộ Công Thương.</t>
  </si>
  <si>
    <t>*Giờ hoạt động theo Thông tư 60/2025/TT-BCT ngày 02/12/2025 của Bộ Công Thương.</t>
  </si>
  <si>
    <t>06 giờ/ngày</t>
  </si>
  <si>
    <t>13 giờ/ngày với các ngày từ thứ Hai đến thứ Bảy, 18 giờ/ngày với ngày Chủ nhật</t>
  </si>
  <si>
    <t>05 giờ/ngày với các ngày từ thứ Hai đến thứ Bảy, ngày Chủ nhật không có giờ cao điểm;</t>
  </si>
  <si>
    <t>* Đối tượng khách hàng mua điện cấp điện áp dưới 6kv (theo Quy trình vận hành).</t>
  </si>
  <si>
    <t>LỢI NHUẬN NĂM 2024</t>
  </si>
  <si>
    <t>Doanh thu trước thuế (đồng)</t>
  </si>
  <si>
    <t>Lợi nhuận trước thuế (đồng)</t>
  </si>
  <si>
    <t>Tỷ suất lợi nhuận từ dịch vụ thu gom, vận chuyển CTRSH trên doanh thu dịch vụ thu gom, vận chuyển CTRSH (%)</t>
  </si>
  <si>
    <t>Phụ lục X</t>
  </si>
  <si>
    <t>Ý kiến của SNNMT (heo báo cáo tài chính năm 2024 của CTCPMTĐTĐN)</t>
  </si>
  <si>
    <r>
      <t xml:space="preserve">*Theo quy định tại Điều 11 Thông tư số 45/2024/TT-BTC: 
-"Tỷ suất lợi nhuận là tỷ lệ phần trăm (%) của khoản lợi nhuận trên doanh thu hoặc trên doanh thu thuần hoặc trên vốn chủ sở hữu hay vốn Nhà nước đầu tư do đại diện chủ sở hữu giao hoặc trên tổng giá vốn hàng bán, chi phí bán hàng, chi phí quản lý doanh nghiệp và chi phí tài chính (phân bổ cho hàng hóa, dịch vụ).
- Đối với hàng hóa, dịch vụ do Nhà nước đặt hàng hoặc giao nhiệm vụ mà chưa có lưu thông trên thị trường hoặc chưa có những hàng hóa, dịch vụ tương tự được sản xuất và lưu thông trên thị trường: mức lợi nhuận sau khi nộp thuế thu nhập doanh nghiệp đảm bảo không vượt mức trích lập hai (02) quỹ phúc lợi và quỹ khen thưởng theo quy định của pháp luật; hoặc mức lợi nhuận tối đa hoặc </t>
    </r>
    <r>
      <rPr>
        <b/>
        <sz val="13"/>
        <color rgb="FF000000"/>
        <rFont val="Times New Roman"/>
        <family val="1"/>
      </rPr>
      <t>tỷ suất lợi nhuận tối đa được xác định trên cơ sở báo cáo tài chính của đơn vị đã được kiểm toán gần nhất</t>
    </r>
    <r>
      <rPr>
        <sz val="13"/>
        <color rgb="FF000000"/>
        <rFont val="Times New Roman"/>
        <family val="1"/>
      </rPr>
      <t xml:space="preserve"> hoặc quyết toán gần nhất với thời điểm xác định giá đối với hàng hóa, dịch vụ khác mà đơn vị đã và đang sản xuất, kinh doanh".
*Theo đó, BQL đề xuất lấy tỷ lệ lợi nhuận là 4,5%.
*Căn cứ vào các quy định tại Điều 11 Thông tư số 45/2024/TT-BTC, trên cơ sở số liệu năm 2024 do đơn vị cung cấp và để đảm bảo tiết kiệm chi cho NSNN, SNNMT đề xuất lấy tỷ lệ lợi nhuận  là 2,9%. </t>
    </r>
  </si>
  <si>
    <t>Khối lượng rác năm 2024 dự kiến (tấn)</t>
  </si>
  <si>
    <t>Phụ lục VII.2</t>
  </si>
  <si>
    <t>Bảo vệ</t>
  </si>
  <si>
    <t>Số lượng</t>
  </si>
  <si>
    <t>Hệ số phụ cấp trách nhiệm</t>
  </si>
  <si>
    <t xml:space="preserve">NC I </t>
  </si>
  <si>
    <t>P=4,5%</t>
  </si>
  <si>
    <t>Tiền lương tháng (đồng)</t>
  </si>
  <si>
    <t>(12)={[(5)+(6)+(7)]x(8) x[1+(9)]+(10)+(11)}x(4)</t>
  </si>
  <si>
    <t>CHI PHÍ SẢN XUẤT CHUNG</t>
  </si>
  <si>
    <t>Chi phí nhân viên phân xưởng trong 1 năm (đồng)</t>
  </si>
  <si>
    <t>(13)=(12) x 12 tháng</t>
  </si>
  <si>
    <t>Tổng chi phí sản xuất chung trong 01 năm (đồng)</t>
  </si>
  <si>
    <t>Tổng chi phí sản xuất chung/tấn rác (đồng/tấn)</t>
  </si>
  <si>
    <t xml:space="preserve">ĐƠN GIÁ CA MÁY </t>
  </si>
  <si>
    <t>Đơn giá</t>
  </si>
  <si>
    <t xml:space="preserve">Nguyên giá máy trước thuế </t>
  </si>
  <si>
    <t>đồng</t>
  </si>
  <si>
    <t>Giá trị thu hồi của máy</t>
  </si>
  <si>
    <r>
      <t>G</t>
    </r>
    <r>
      <rPr>
        <vertAlign val="subscript"/>
        <sz val="11"/>
        <rFont val="Times New Roman"/>
        <family val="1"/>
      </rPr>
      <t>TH</t>
    </r>
  </si>
  <si>
    <t xml:space="preserve">Giá máy để tính toán khấu hao   </t>
  </si>
  <si>
    <r>
      <t>G</t>
    </r>
    <r>
      <rPr>
        <vertAlign val="subscript"/>
        <sz val="11"/>
        <rFont val="Times New Roman"/>
        <family val="1"/>
      </rPr>
      <t>KH</t>
    </r>
  </si>
  <si>
    <r>
      <t>G</t>
    </r>
    <r>
      <rPr>
        <vertAlign val="subscript"/>
        <sz val="11"/>
        <rFont val="Times New Roman"/>
        <family val="1"/>
      </rPr>
      <t>KH</t>
    </r>
    <r>
      <rPr>
        <sz val="11"/>
        <rFont val="Times New Roman"/>
        <family val="1"/>
      </rPr>
      <t xml:space="preserve"> = G - G</t>
    </r>
    <r>
      <rPr>
        <vertAlign val="subscript"/>
        <sz val="11"/>
        <rFont val="Times New Roman"/>
        <family val="1"/>
      </rPr>
      <t>TH</t>
    </r>
  </si>
  <si>
    <t>Số ca làm việc của máy trong năm</t>
  </si>
  <si>
    <r>
      <t>N</t>
    </r>
    <r>
      <rPr>
        <vertAlign val="subscript"/>
        <sz val="11"/>
        <rFont val="Times New Roman"/>
        <family val="1"/>
      </rPr>
      <t>CA</t>
    </r>
  </si>
  <si>
    <t>Khấu hao</t>
  </si>
  <si>
    <r>
      <t>C</t>
    </r>
    <r>
      <rPr>
        <vertAlign val="subscript"/>
        <sz val="11"/>
        <rFont val="Times New Roman"/>
        <family val="1"/>
      </rPr>
      <t>KH</t>
    </r>
  </si>
  <si>
    <r>
      <t>C</t>
    </r>
    <r>
      <rPr>
        <vertAlign val="subscript"/>
        <sz val="11"/>
        <rFont val="Times New Roman"/>
        <family val="1"/>
      </rPr>
      <t xml:space="preserve">KH = </t>
    </r>
    <r>
      <rPr>
        <sz val="11"/>
        <rFont val="Times New Roman"/>
        <family val="1"/>
      </rPr>
      <t>G</t>
    </r>
    <r>
      <rPr>
        <vertAlign val="subscript"/>
        <sz val="11"/>
        <rFont val="Times New Roman"/>
        <family val="1"/>
      </rPr>
      <t>KH</t>
    </r>
    <r>
      <rPr>
        <sz val="11"/>
        <rFont val="Times New Roman"/>
        <family val="1"/>
      </rPr>
      <t xml:space="preserve"> x Định mức / N</t>
    </r>
    <r>
      <rPr>
        <vertAlign val="subscript"/>
        <sz val="11"/>
        <rFont val="Times New Roman"/>
        <family val="1"/>
      </rPr>
      <t>CA</t>
    </r>
  </si>
  <si>
    <t>*</t>
  </si>
  <si>
    <t>Tài sản cố định tính riêng Hộc rác số 7</t>
  </si>
  <si>
    <t>PHẦN CÁC CÔNG TRÌNH XÂY LẮP</t>
  </si>
  <si>
    <t>Xây dựng hộc rác số 7</t>
  </si>
  <si>
    <t xml:space="preserve">Đào đất hộc rác </t>
  </si>
  <si>
    <t>hạng mục</t>
  </si>
  <si>
    <t>Đáy và thành hộc rác</t>
  </si>
  <si>
    <t>Hệ thống thu nước rỉ rác</t>
  </si>
  <si>
    <t xml:space="preserve">Hệ thống thu gom khí rác </t>
  </si>
  <si>
    <t>Giếng quan trắc nước ngầm</t>
  </si>
  <si>
    <t>Chi phí xây dựng phục vụ vận hành</t>
  </si>
  <si>
    <t>Hạng mục giao thông, thoát nước mưa</t>
  </si>
  <si>
    <t>Hạng mục giao thông</t>
  </si>
  <si>
    <t>Thoát nước mưa</t>
  </si>
  <si>
    <t>Cấp điện và điện chiếu sáng</t>
  </si>
  <si>
    <t>Đường dây trung thế</t>
  </si>
  <si>
    <t>Trạm biến áp</t>
  </si>
  <si>
    <t>Đường dây chiếu sáng (đường giao thông)</t>
  </si>
  <si>
    <t>Đường dây chiếu sáng (đường vận hành)</t>
  </si>
  <si>
    <t>IV</t>
  </si>
  <si>
    <t>Cây xanh và công trình phụ trợ</t>
  </si>
  <si>
    <t xml:space="preserve">Cây xanh </t>
  </si>
  <si>
    <t>cây</t>
  </si>
  <si>
    <t>Sân đường BTXM,  hộ lan trạm cân</t>
  </si>
  <si>
    <t>Cầu rửa xe</t>
  </si>
  <si>
    <t>Hố thu nước rửa</t>
  </si>
  <si>
    <t>Bể cấp nước</t>
  </si>
  <si>
    <t>Cấp nước các công trình phụ trợ</t>
  </si>
  <si>
    <t>Thoát nước công trình phụ trợ</t>
  </si>
  <si>
    <t>Nhà quản lý vận hành</t>
  </si>
  <si>
    <t>Hệ thống chống sét</t>
  </si>
  <si>
    <t>hệ thống</t>
  </si>
  <si>
    <t>Cấp điện và chiếu sáng công trình phụ trợ</t>
  </si>
  <si>
    <t>Di chuyển công trình ngầm</t>
  </si>
  <si>
    <t>Hệ thống PCCC toàn khu: bể PCCC - hệ thống trụ cứu hỏa</t>
  </si>
  <si>
    <t>Phần thiết bị</t>
  </si>
  <si>
    <t>Gia công chế tạo thiết bị cơ khí</t>
  </si>
  <si>
    <t>Thiết bị TBA</t>
  </si>
  <si>
    <t>CHI PHÍ KHẤU HAO TÀI SẢN CỐ ĐỊNH (ĐỒNG/TẤN)</t>
  </si>
  <si>
    <t xml:space="preserve"> CHI PHÍ KHẤU HAO THIẾT BỊ ĐẦU TƯ XÂY DỰNG BAN ĐẦU</t>
  </si>
  <si>
    <t>Thời gian tính hao mòn (năm)</t>
  </si>
  <si>
    <t>Đơn vị đề nghị (tham khảo TT 23/2023/TT-BTC)</t>
  </si>
  <si>
    <t>SNNMT kiểm tra (tham khảo TT 141/2025/TT-BTC)</t>
  </si>
  <si>
    <t xml:space="preserve">Áp dụng loại máy ủi 180 cv có mã hiệu M101.0505 tại Quyết định số 747/QĐ-SXD ngày 31/12/2025 của Sở Xây dựng </t>
  </si>
  <si>
    <t xml:space="preserve">Áp dụng loại máy đào một gầu, bánh hơi dung tích gầu 0,8m3 có mã hiệu M101.0201 tại Quyết định số 747/QĐ-SXD ngày 31/12/2025 của Sở Xây dựng  </t>
  </si>
  <si>
    <t xml:space="preserve">Áp dụng loại xe ô tô vận tải thùng trọng tải 2 tấn có mã hiệu M106.0103 tại Quyết định số 747/QĐ-SXD ngày 31/12/2025 của Sở Xây dựng </t>
  </si>
  <si>
    <t xml:space="preserve">Áp dụng loại xe ô tô tự đổ trọng tải 7 tấn có mã hiệu M106.0203 tại Quyết định số 747/QĐ-SXD ngày 31/12/2025 của Sở Xây dựng </t>
  </si>
  <si>
    <t xml:space="preserve">Áp dụng loại xe ô tô hút bùn dung tích 3m3 có mã hiệu M106.0602 tại Quyết định số 747/QĐ-SXD ngày 31/12/2025 của Sở Xây dựng  </t>
  </si>
  <si>
    <t xml:space="preserve">Áp dụng loại máy bơm nước, động cơ điện - công suất 2,8kW có mã hiệu M112.0103 tại Quyết định số 747/QĐ-SXD ngày 31/12/2025 của Sở Xây dựng </t>
  </si>
  <si>
    <t xml:space="preserve">Áp dụng loại máy bơm nước, động cơ điện - công suất 7 kW ÷ 7,5 kW có mã hiệu M112.0104 tại Quyết định số 747/QĐ-SXD ngày 31/12/2025 của Sở Xây dựng </t>
  </si>
  <si>
    <t xml:space="preserve">Áp dụng loại máy bơm nước, động cơ điện - công suất 20 kW có mã hiệu M112.0106 tại Quyết định số 747/QĐ-SXD ngày 31/12/2025 của Sở Xây dựng </t>
  </si>
  <si>
    <t xml:space="preserve">Áp dụng loại máy bơm nước, động cơ diezel - công suất 10cv có mã hiệu M112.0203 tại Quyết định số 747/QĐ-SXD ngày 31/12/2025 của Sở Xây dựng </t>
  </si>
  <si>
    <t xml:space="preserve">Áp dụng loại máy phun chất tạo màng 5,Hp có mã hiệu M112.1402 tại Quyết định số 747/QĐ-SXD ngày 31/12/2025 của Sở Xây dựng </t>
  </si>
  <si>
    <t xml:space="preserve">Áp dụng loại xe tưới nước dung tích 9m3 có mã hiệu M106.0505 tại Quyết định số 747/QĐ-SXD ngày 31/12/2025 của Sở Xây dựng </t>
  </si>
  <si>
    <t xml:space="preserve">Áp dụng loại máy bơm nước, động cơ xăng - công suất 3cv có mã hiệu M112.0301 tại Quyết định số 747/QĐ-SXD ngày 31/12/2025 của Sở Xây dựng </t>
  </si>
  <si>
    <t>CHI PHÍ KHẤU HAO MÁY, THIẾT BỊ TRỰC TIẾP CỦA DỰ ÁN (Gkh1)</t>
  </si>
  <si>
    <t>ĐVT: Đồng/tấn</t>
  </si>
  <si>
    <t xml:space="preserve">Định mức </t>
  </si>
  <si>
    <t>ĐƠN GIÁ KHẤU HAO CA MÁY CỦA DỰ ÁN</t>
  </si>
  <si>
    <t>ĐVT: đồng</t>
  </si>
  <si>
    <t>Chi phí khấu hao máy, thiết bị trực tiếp</t>
  </si>
  <si>
    <t>Phụ lục XI</t>
  </si>
  <si>
    <t>CHI PHÍ KHẤU HAO TÀI SẢN CỐ ĐỊNH CÒN LẠI CỦA DỰ ÁN (Gkh2)</t>
  </si>
  <si>
    <t xml:space="preserve">Chi phí khấu hao </t>
  </si>
  <si>
    <t xml:space="preserve">Định
 mức </t>
  </si>
  <si>
    <t>Chi phí khấu hao tài sản cố định phục vụ vận hành ô chôn lấp số 6</t>
  </si>
  <si>
    <t>Phụ lục XII</t>
  </si>
  <si>
    <t>Máy phát điện 50kVA</t>
  </si>
  <si>
    <t xml:space="preserve">Thiết bị OCL </t>
  </si>
  <si>
    <t>Tủ điện phân phối tổng: ATS-NQL</t>
  </si>
  <si>
    <t>10</t>
  </si>
  <si>
    <t>Máy tính để bàn</t>
  </si>
  <si>
    <t>2</t>
  </si>
  <si>
    <t>Bơm nuớc rỉ rác cho trạm bơm</t>
  </si>
  <si>
    <t>Bơm nuớc sau rửa xe</t>
  </si>
  <si>
    <t>Tủ điện điều khiển bơm</t>
  </si>
  <si>
    <t>Bộ đo mức siêu âm</t>
  </si>
  <si>
    <t>Máy in</t>
  </si>
  <si>
    <t>1</t>
  </si>
  <si>
    <t>Bàn làm việc đặt tại nhà bảo vệ</t>
  </si>
  <si>
    <t xml:space="preserve">Ghế ngồi </t>
  </si>
  <si>
    <t>4</t>
  </si>
  <si>
    <t>Bình xịt chữa cháy</t>
  </si>
  <si>
    <t>Bơm chữa cháy động cơ điện</t>
  </si>
  <si>
    <t>Bơm chữa cháy động cơ diesel</t>
  </si>
  <si>
    <t xml:space="preserve">Máy bơm bù áp động cơ điện (cho bơm PCCC) </t>
  </si>
  <si>
    <t>Tủ điện điều khiển bơm PCCC</t>
  </si>
  <si>
    <t>Kim thu sét bán kính bảo vệ R=107m</t>
  </si>
  <si>
    <t>bình</t>
  </si>
  <si>
    <t>Hệ thống camera giám sát</t>
  </si>
  <si>
    <t>Tủ đựng hồ sơ</t>
  </si>
  <si>
    <t>Công trình phụ trợ</t>
  </si>
  <si>
    <t>2.9</t>
  </si>
  <si>
    <t>2.10</t>
  </si>
  <si>
    <t>2.11</t>
  </si>
  <si>
    <t>2.12</t>
  </si>
  <si>
    <t>Đơn giá khấu hao</t>
  </si>
  <si>
    <t>Đơn giá khấu hao Trạm cân 0,003 kW</t>
  </si>
  <si>
    <t>Đơn giá khấu hao Hệ thống rửa xe tự động 10 kW</t>
  </si>
  <si>
    <t xml:space="preserve">- </t>
  </si>
  <si>
    <t>Chi tiết tại Phụ lục II.1</t>
  </si>
  <si>
    <t>(6)=(4)/(2)x367/365</t>
  </si>
  <si>
    <t>(5)=(3)/(1)x367/365</t>
  </si>
  <si>
    <t>Đơn vị đề xuất</t>
  </si>
  <si>
    <r>
      <t>Xe bồn 10 m</t>
    </r>
    <r>
      <rPr>
        <b/>
        <vertAlign val="superscript"/>
        <sz val="11"/>
        <color theme="1"/>
        <rFont val="Times New Roman"/>
        <family val="1"/>
      </rPr>
      <t xml:space="preserve">3 </t>
    </r>
  </si>
  <si>
    <r>
      <t xml:space="preserve">Xe ô tô tải thùng tự đổ tải trọng </t>
    </r>
    <r>
      <rPr>
        <b/>
        <sz val="11"/>
        <color theme="1"/>
        <rFont val="Calibri"/>
        <family val="2"/>
      </rPr>
      <t>≤</t>
    </r>
    <r>
      <rPr>
        <b/>
        <sz val="11"/>
        <color theme="1"/>
        <rFont val="Times New Roman"/>
        <family val="1"/>
      </rPr>
      <t xml:space="preserve"> 10 tấn</t>
    </r>
  </si>
  <si>
    <t>- Giá xăng RON92 (chưa bao gồm VAT): 16.618 đồng/lít.</t>
  </si>
  <si>
    <t xml:space="preserve">* Giá nhiên liệu theo Thông cáo báo chí từ 15h00 ngày 22/01/2026 của Tập đoàn Dầu khí Việt Nam: </t>
  </si>
  <si>
    <t>- Giá dầu diesel (chưa bao gồm VAT): 16.091 đồng/lít.</t>
  </si>
  <si>
    <t>(8)=(4)x(6)</t>
  </si>
  <si>
    <t>(9)=(5)x(7)</t>
  </si>
  <si>
    <t>Định biên (người/nhóm)</t>
  </si>
  <si>
    <t>(10)= (4)x(7)x23,5%</t>
  </si>
  <si>
    <t>(11)= (5)x(7)x23,5%</t>
  </si>
  <si>
    <t>(13)={[(4)+(6)]x(7) x[1+(8)]+(9)+(10)}:(12)</t>
  </si>
  <si>
    <t>(14)={[(5)+(6)]x(7) x[1+(8)]+(9)+(11)}:(12)</t>
  </si>
  <si>
    <t>Chế độ khác (BHXH, BHYT, BHTN, CĐ do người sử dụng lao động đóng 23,5%)</t>
  </si>
  <si>
    <t>- Nguyên giá máy lấy theo giá trị dự toán được phê duyệt tại Quyết định số 59/QĐ-BQL ngày 25/02/2025 của BQL các dự án đầu tư cơ sở hạ tầng ưu tiên;
- Định mức khấu hao áp dụng theo Thông tư 141/2025/TT-BTC ngày 31/12/2025.</t>
  </si>
  <si>
    <t>Hệ số phụ cấp lương (nặng nhọc, độc hại, lưu động,...) (Hpc)</t>
  </si>
  <si>
    <t xml:space="preserve">Tổ trưởng quản lý </t>
  </si>
  <si>
    <t>(11)= (5)x(8)x23,5%</t>
  </si>
  <si>
    <t>Tổng chi phí sản xuất chung</t>
  </si>
  <si>
    <t>Phụ lục VIII</t>
  </si>
  <si>
    <t>Phụ lục IX</t>
  </si>
  <si>
    <t>Chi tiết tại Phụ lục XII.</t>
  </si>
  <si>
    <t xml:space="preserve">Giá trị tài sản khấu hao trong thời gian vận hành dự án 367 ngày </t>
  </si>
  <si>
    <t>TỔNG GIÁ TRỊ TÀI SẢN KHẤU HAO TRONG 367 NGÀY (ĐỒNG)</t>
  </si>
  <si>
    <t>TỔNG KHỐI LƯỢNG RÁC XỬ LÝ TRONG 367 NGÀY (TẤN)</t>
  </si>
  <si>
    <t xml:space="preserve">Nguyên giá (theo Quyết định phê duyệt dự toán số 59/QĐ-BQL ngày 25/02/2025 của BQL dự án đầu tư có sở hạ tầng ưu tiên TP.ĐN) </t>
  </si>
  <si>
    <t>Đvt: Đồng</t>
  </si>
  <si>
    <t>Chi tiết tại Phụ lục VII</t>
  </si>
  <si>
    <t>Mã số</t>
  </si>
  <si>
    <t>Tên công tác</t>
  </si>
  <si>
    <t>1m3</t>
  </si>
  <si>
    <t>Phụ lục II.4.1</t>
  </si>
  <si>
    <t>ĐƠN GIÁ ĐẤT</t>
  </si>
  <si>
    <t>Tổng cộng chi phí đào đất cho 100m3 đất</t>
  </si>
  <si>
    <t>Đơn giá đào đất cho 1m3 đất</t>
  </si>
  <si>
    <t>100m3</t>
  </si>
  <si>
    <t>Đvt: Đồng/m3</t>
  </si>
  <si>
    <t>Phụ lục II.4.2</t>
  </si>
  <si>
    <t>CHI TIẾT ĐƠN GIÁ ĐẤT</t>
  </si>
  <si>
    <t>Hệ số</t>
  </si>
  <si>
    <t>b) Nhân công</t>
  </si>
  <si>
    <t>c) Máy thi công</t>
  </si>
  <si>
    <t>Cộng chi phí trực tiếp (VL+NC+M)</t>
  </si>
  <si>
    <t>CHI PHÍ GIÁN TIẾP</t>
  </si>
  <si>
    <t>LT</t>
  </si>
  <si>
    <t>Cộng chi phí gián tiếp (C + LT + TT)</t>
  </si>
  <si>
    <t>GT</t>
  </si>
  <si>
    <t>TL</t>
  </si>
  <si>
    <t>Chi phí xây dựng trước thuế (T+GT+TL)</t>
  </si>
  <si>
    <t>GTGT</t>
  </si>
  <si>
    <t>Chi phí xây dựng sau thuế (G+GTGT)</t>
  </si>
  <si>
    <t>Gxd</t>
  </si>
  <si>
    <t>AB.42232</t>
  </si>
  <si>
    <t>Vận chuyển đất bằng ô tô tự đổ 10T 0,3km tiếp theo ngoài phạm vi 5km, đất cấp II</t>
  </si>
  <si>
    <t>M106.0204</t>
  </si>
  <si>
    <t>Ô tô tự đổ - trọng tải : 10,0 T</t>
  </si>
  <si>
    <t/>
  </si>
  <si>
    <t>Chi phí chung (T x 4,8%)</t>
  </si>
  <si>
    <t>4,8%</t>
  </si>
  <si>
    <t>Chi phí nhà tạm để ở và điều hành thi công (T x 0,95%)</t>
  </si>
  <si>
    <t>0,95%</t>
  </si>
  <si>
    <t>Chi phí một số công việc không xác định được khối lượng từ thiết kế (T x 2%)</t>
  </si>
  <si>
    <t>2%</t>
  </si>
  <si>
    <t>THU NHẬP CHỊU THUẾ TÍNH TRƯỚC (T+GT) x 5,5%</t>
  </si>
  <si>
    <t>5,5%</t>
  </si>
  <si>
    <t>THUẾ GIÁ TRỊ GIA TĂNG (G x 10%)</t>
  </si>
  <si>
    <t>Đvt: đồng</t>
  </si>
  <si>
    <t>- Định mức áp dụng theo mã hiệu AB.2413 Thông tư 12/2021/TT-BXD;
- Đơn giá theo Quyết định số 746/QĐ-SXD ngày 31/12/2025.</t>
  </si>
  <si>
    <t>- Định mức áp dụng theo mã hiệu AB.2413 Thông tư 12/2021/TT-BXD;
- Đơn giá theo máy có mã hiệu M101.0105 Quyết định số 747/QĐ-SXD ngày 31/12/2025.</t>
  </si>
  <si>
    <t>- Định mức áp dụng theo mã hiệu AB.4143 Thông tư 12/2021/TT-BXD;
- Đơn giá theo máy có mã hiệu M106.0204 Quyết định số 746/QĐ-SXD ngày 31/12/2025.</t>
  </si>
  <si>
    <t>- Định mức áp dụng theo mã hiệu AB.4213 Thông tư 12/2021/TT-BXD;
- Đơn giá theo máy có mã hiệu M106.0204 Quyết định số 746/QĐ-SXD ngày 31/12/2025.</t>
  </si>
  <si>
    <t>- Định mức áp dụng theo mã hiệu AB.4223 Thông tư 12/2021/TT-BXD;
- Đơn giá theo máy có mã hiệu M106.0204 Quyết định số 746/QĐ-SXD ngày 31/12/2025.</t>
  </si>
  <si>
    <t>Phụ lục VII.1</t>
  </si>
  <si>
    <t>Chi tiết tại Phụ lục VII.2</t>
  </si>
  <si>
    <t>BẢNG TÍNH CHI PHÍ SẢN XUẤT CHUNG</t>
  </si>
  <si>
    <t>(14)</t>
  </si>
  <si>
    <t>Chi tiết tại Phụ lục II.2.</t>
  </si>
  <si>
    <t>Đơn giá (đồng/cái)</t>
  </si>
  <si>
    <t>- Thời hạn sử dụng căn cứ theo Bảng số 48 mục II Chương III Phần II Thông tư số 36/2024/TT-BTNMT ngày 20/12/2024 của Bộ trưởng Bộ Tài nguyên và Môi trường ban hành định mức kinh tế - kỹ thuật thu gom, vận chuyển, xử lý chất thải rắn sinh hoạt.
- Đơn giá dụng cụ lấy theo báo giá thực tế của đơn vị cung cấp.</t>
  </si>
  <si>
    <t>- Định mức căn cứ theo mã hiệu XL.2.6 Bảng số 48 Thông tư 36/2024/TT-BTNMT ngày 20/12/2024  của Bộ trưởng Bộ Tài nguyên và Môi trường ban hành định mức kinh tế - kỹ thuật thu gom, vận chuyển, xử lý chất thải rắn sinh hoạt.
- Đơn giá chi tiết theo Phụ lục II.3.</t>
  </si>
  <si>
    <t>- Định mức vật tư căn cứ theo mã hiệu XL.2.6 Bảng số 49 Thông tư số 36/2024/TT-BTNMT ngày 20/12/2024 của Bộ trưởng Bộ Tài nguyên và Môi trường ban hành định mức kinh tế - kỹ thuật thu gom, vận chuyển, xử lý chất thải rắn sinh hoạt;
- Đơn giá vật tư lấy theo QĐ số 6672/QĐ-UBND ngày 28/11/2017.</t>
  </si>
  <si>
    <t>- Định mức vật tư căn cứ theo mã hiệu XL.2.6 Bảng số 49 Thông tư số 36/2024/TT-BTNMT ngày 20/12/2024 của Bộ trưởng Bộ Tài nguyên và Môi trường ban hành định mức kinh tế - kỹ thuật thu gom, vận chuyển, xử lý chất thải rắn sinh hoạt;
- Đơn giá vật tư theo Phụ lục II.4.1 và II.4.2.</t>
  </si>
  <si>
    <t>- Định mức vật tư căn cứ theo mã hiệu XL.2.6 Bảng số 49 Thông tư số 36/2024/TT-BTNMT ngày 20/12/2024 của Bộ trưởng Bộ Tài nguyên và Môi trường ban hành định mức kinh tế - kỹ thuật thu gom, vận chuyển, xử lý chất thải rắn sinh hoạt;
- Đơn giá vật tư lấy theo báo giá thực tế của đơn vị cung cấp.</t>
  </si>
  <si>
    <t>- Định mức vật tư căn cứ theo mã hiệu XL.2.6 Bảng số 49 Thông tư số 36/2024/TT-BTNMT ngày 20/12/2024 của Bộ trưởng Bộ Tài nguyên và Môi trường ban hành định mức kinh tế - kỹ thuật thu gom, vận chuyển, xử lý chất thải rắn sinh hoạt;
- Đơn giá vật tư lấy theo Công bố giá vật liệu xây dựng của Sở Xây dựng tại QĐ số 10712/QĐ-QLCL ngày 12/12/2025.</t>
  </si>
  <si>
    <t>- Khối lượng căn cứ theo Biên bản nghiệm thu do BQL dự án đầu tư cơ sở hạ tầng ưu tiên cung cấp.
- Đơn giá chi tiết tại Phụ lục II.4.2.</t>
  </si>
  <si>
    <t>- Định mức căn cứ theo mã hiệu XL.2.6 Bảng số 46 Thông tư số 36/2024/TT-BTNMT ngày 20/12/2024 của Bộ trưởng Bộ Tài nguyên và Môi trường ban hành định mức kinh tế - kỹ thuật thu gom, vận chuyển, xử lý chất thải rắn sinh hoạt;
- Đơn giá theo Phụ lục IV.</t>
  </si>
  <si>
    <t>(15)</t>
  </si>
  <si>
    <t>Tiền lương tính toán theo quy định tại Thông tư số 17/2019/TT-BLĐTBXH ngày 06/11/2019</t>
  </si>
  <si>
    <t>- Định mức căn cứ theo mã hiệu XL.2.6 Bảng số 47 Thông tư số 36/2024/TT-BTNMT ngày 20/12/2024 của Bộ trưởng Bộ Tài nguyên và Môi trường ban hành định mức kinh tế - kỹ thuật thu gom, vận chuyển, xử lý chất thải rắn sinh hoạt;
- Đơn giá theo Phụ lục VI.</t>
  </si>
  <si>
    <t>- Định mức căn cứ theo mã hiệu XL.2.6 Bảng số 47 Thông tư số 36/2024/TT-BTNMT ngày 20/12/2024 của Bộ trưởng Bộ Tài nguyên và Môi trường ban hành định mức kinh tế - kỹ thuật thu gom, vận chuyển, xử lý chất thải rắn sinh hoạt;
- Đơn giá theo Phụ lục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</si>
</sst>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6" formatCode="&quot;$&quot;#,##0_);[Red]\(&quot;$&quot;#,##0\)"/>
    <numFmt numFmtId="43" formatCode="_(* #,##0.00_);_(* \(#,##0.00\);_(* &quot;-&quot;??_);_(@_)"/>
    <numFmt numFmtId="164" formatCode="_-* #,##0_-;\-* #,##0_-;_-* &quot;-&quot;_-;_-@_-"/>
    <numFmt numFmtId="165" formatCode="_-* #,##0.00_-;\-* #,##0.00_-;_-* &quot;-&quot;??_-;_-@_-"/>
    <numFmt numFmtId="166" formatCode="#,##0.###;\-#,##0.###"/>
    <numFmt numFmtId="167" formatCode="#,##0.0;\-#,##0.0"/>
    <numFmt numFmtId="168" formatCode="#,##0.#####0;\-#,##0.#####0"/>
    <numFmt numFmtId="169" formatCode="#,##0.0"/>
    <numFmt numFmtId="170" formatCode="_-* #,##0_-;\-* #,##0_-;_-* &quot;-&quot;??_-;_-@_-"/>
    <numFmt numFmtId="171" formatCode="#,##0.#####;\-#,##0.#####"/>
    <numFmt numFmtId="172" formatCode="#,##0.0000"/>
    <numFmt numFmtId="173" formatCode="_-* #,##0\ _₫_-;\-* #,##0\ _₫_-;_-* &quot;-&quot;??\ _₫_-;_-@_-"/>
    <numFmt numFmtId="174" formatCode="_-&quot;ñ&quot;* #,##0_-;\-&quot;ñ&quot;* #,##0_-;_-&quot;ñ&quot;* &quot;-&quot;_-;_-@_-"/>
    <numFmt numFmtId="175" formatCode="_ * #,##0.00_ ;_ * \-#,##0.00_ ;_ * &quot;-&quot;??_ ;_ @_ "/>
    <numFmt numFmtId="176" formatCode="_ * #,##0_ ;_ * \-#,##0_ ;_ * &quot;-&quot;_ ;_ @_ "/>
    <numFmt numFmtId="177" formatCode="_-&quot;$&quot;* #,##0_-;\-&quot;$&quot;* #,##0_-;_-&quot;$&quot;* &quot;-&quot;_-;_-@_-"/>
    <numFmt numFmtId="178" formatCode="###0"/>
    <numFmt numFmtId="179" formatCode="&quot;$&quot;#&quot;$&quot;##0_);\(&quot;$&quot;#&quot;$&quot;##0\)"/>
    <numFmt numFmtId="180" formatCode="_(* #,##0_);_(* \(#,##0\);_(* &quot;-&quot;??_);_(@_)"/>
    <numFmt numFmtId="181" formatCode="_-&quot;£&quot;* #,##0_-;\-&quot;£&quot;* #,##0_-;_-&quot;£&quot;* &quot;-&quot;_-;_-@_-"/>
    <numFmt numFmtId="182" formatCode="_-&quot;£&quot;* #,##0.00_-;\-&quot;£&quot;* #,##0.00_-;_-&quot;£&quot;* &quot;-&quot;??_-;_-@_-"/>
    <numFmt numFmtId="183" formatCode="&quot;\&quot;#,##0;[Red]&quot;\&quot;&quot;\&quot;\-#,##0"/>
    <numFmt numFmtId="184" formatCode="00.000.000."/>
    <numFmt numFmtId="185" formatCode="_ * #,##0.00_)_d_ ;_ * \(#,##0.00\)_d_ ;_ * &quot;-&quot;??_)_d_ ;_ @_ "/>
    <numFmt numFmtId="186" formatCode="#\ ##,#\ ##,#\ ##.000"/>
    <numFmt numFmtId="187" formatCode="#,##0.00\ &quot;F&quot;;[Red]\-#,##0.00\ &quot;F&quot;"/>
    <numFmt numFmtId="188" formatCode="_-* #,##0\ &quot;F&quot;_-;\-* #,##0\ &quot;F&quot;_-;_-* &quot;-&quot;\ &quot;F&quot;_-;_-@_-"/>
    <numFmt numFmtId="189" formatCode="#,##0\ &quot;F&quot;;[Red]\-#,##0\ &quot;F&quot;"/>
    <numFmt numFmtId="190" formatCode="#,##0.00\ &quot;F&quot;;\-#,##0.00\ &quot;F&quot;"/>
    <numFmt numFmtId="191" formatCode="&quot;\&quot;#,##0.00;[Red]&quot;\&quot;\-#,##0.00"/>
    <numFmt numFmtId="192" formatCode="&quot;\&quot;#,##0;[Red]&quot;\&quot;\-#,##0"/>
    <numFmt numFmtId="193" formatCode="_-&quot;$&quot;* #,##0.00_-;\-&quot;$&quot;* #,##0.00_-;_-&quot;$&quot;* &quot;-&quot;??_-;_-@_-"/>
    <numFmt numFmtId="194" formatCode="_(* #,##0.00_);_(* \(#,##0.00\);_(* \-??_);_(@_)"/>
    <numFmt numFmtId="195" formatCode="0.00000"/>
    <numFmt numFmtId="196" formatCode="_-* #,##0.0000_-;\-* #,##0.0000_-;_-* &quot;-&quot;??_-;_-@_-"/>
    <numFmt numFmtId="197" formatCode="_-* #,##0.000000_-;\-* #,##0.000000_-;_-* &quot;-&quot;??_-;_-@_-"/>
    <numFmt numFmtId="198" formatCode="#,##0.000000"/>
    <numFmt numFmtId="199" formatCode="#,##0.00000"/>
    <numFmt numFmtId="200" formatCode="#,##0;\-#,##0"/>
    <numFmt numFmtId="201" formatCode="#,##0.000"/>
    <numFmt numFmtId="202" formatCode="0.0%"/>
    <numFmt numFmtId="203" formatCode="0.000000"/>
    <numFmt numFmtId="204" formatCode="#,##0.0000000"/>
    <numFmt numFmtId="205" formatCode="0.0000"/>
    <numFmt numFmtId="206" formatCode="#,##0.###0;\-#,##0.###0"/>
    <numFmt numFmtId="207" formatCode="#,##0.####0;\-#,##0.####0"/>
  </numFmts>
  <fonts count="169">
    <font>
      <sz val="11"/>
      <color theme="1"/>
      <name val="Aptos Narrow"/>
      <family val="2"/>
      <charset val="163"/>
      <scheme val="minor"/>
    </font>
    <font>
      <sz val="11"/>
      <color theme="1"/>
      <name val="Aptos Narrow"/>
      <family val="2"/>
      <scheme val="minor"/>
    </font>
    <font>
      <sz val="11"/>
      <color theme="1"/>
      <name val="Aptos Narrow"/>
      <family val="2"/>
      <charset val="163"/>
      <scheme val="minor"/>
    </font>
    <font>
      <sz val="8.25"/>
      <name val="Microsoft Sans Serif"/>
      <family val="2"/>
    </font>
    <font>
      <b/>
      <sz val="12"/>
      <name val="Times New Roman"/>
      <family val="1"/>
    </font>
    <font>
      <b/>
      <sz val="11"/>
      <name val="Times New Roman"/>
      <family val="1"/>
    </font>
    <font>
      <sz val="11"/>
      <name val="Arial Narrow"/>
      <family val="2"/>
    </font>
    <font>
      <b/>
      <i/>
      <sz val="11"/>
      <name val="Times New Roman"/>
      <family val="1"/>
    </font>
    <font>
      <sz val="10"/>
      <color rgb="FF000000"/>
      <name val="Arial"/>
      <family val="2"/>
    </font>
    <font>
      <b/>
      <sz val="15"/>
      <name val="Times New Roman"/>
      <family val="1"/>
      <charset val="163"/>
    </font>
    <font>
      <sz val="11"/>
      <name val="Times New Roman"/>
      <family val="1"/>
    </font>
    <font>
      <sz val="12"/>
      <color indexed="8"/>
      <name val="Times New Roman"/>
      <family val="1"/>
    </font>
    <font>
      <b/>
      <sz val="12"/>
      <color indexed="8"/>
      <name val="Times New Roman"/>
      <family val="1"/>
    </font>
    <font>
      <b/>
      <sz val="12"/>
      <color rgb="FF000000"/>
      <name val="Times New Roman"/>
      <family val="1"/>
    </font>
    <font>
      <b/>
      <sz val="12"/>
      <color indexed="8"/>
      <name val="Times New Roman"/>
      <family val="1"/>
      <charset val="163"/>
    </font>
    <font>
      <i/>
      <sz val="12"/>
      <color indexed="8"/>
      <name val="Times New Roman"/>
      <family val="1"/>
    </font>
    <font>
      <i/>
      <sz val="12"/>
      <name val="Times New Roman"/>
      <family val="1"/>
    </font>
    <font>
      <i/>
      <sz val="11"/>
      <name val="Times New Roman"/>
      <family val="1"/>
    </font>
    <font>
      <b/>
      <sz val="10"/>
      <color rgb="FF000000"/>
      <name val="Arial"/>
      <family val="2"/>
    </font>
    <font>
      <i/>
      <sz val="10"/>
      <color rgb="FF000000"/>
      <name val="Arial"/>
      <family val="2"/>
    </font>
    <font>
      <b/>
      <i/>
      <sz val="10"/>
      <color rgb="FF000000"/>
      <name val="Arial"/>
      <family val="2"/>
    </font>
    <font>
      <sz val="8"/>
      <name val="Aptos Narrow"/>
      <family val="2"/>
      <charset val="163"/>
      <scheme val="minor"/>
    </font>
    <font>
      <sz val="12"/>
      <name val="Times New Roman"/>
      <family val="1"/>
    </font>
    <font>
      <sz val="10"/>
      <name val="Arial"/>
      <family val="2"/>
    </font>
    <font>
      <sz val="11"/>
      <color indexed="8"/>
      <name val="Times New Roman"/>
      <family val="1"/>
    </font>
    <font>
      <b/>
      <sz val="9"/>
      <color indexed="81"/>
      <name val="Tahoma"/>
      <family val="2"/>
      <charset val="163"/>
    </font>
    <font>
      <sz val="9"/>
      <color indexed="81"/>
      <name val="Tahoma"/>
      <family val="2"/>
      <charset val="163"/>
    </font>
    <font>
      <b/>
      <sz val="11"/>
      <color theme="1"/>
      <name val="Times New Roman"/>
      <family val="1"/>
    </font>
    <font>
      <sz val="11"/>
      <color theme="1"/>
      <name val="Times New Roman"/>
      <family val="1"/>
    </font>
    <font>
      <b/>
      <sz val="11"/>
      <color theme="1"/>
      <name val="Aptos Narrow"/>
      <family val="2"/>
      <charset val="163"/>
      <scheme val="minor"/>
    </font>
    <font>
      <i/>
      <sz val="12"/>
      <color theme="4"/>
      <name val="Times New Roman"/>
      <family val="1"/>
    </font>
    <font>
      <i/>
      <sz val="11"/>
      <name val="Times New Roman"/>
      <family val="1"/>
      <charset val="163"/>
    </font>
    <font>
      <sz val="11"/>
      <color rgb="FF000000"/>
      <name val="Times New Roman"/>
      <family val="1"/>
    </font>
    <font>
      <b/>
      <sz val="12"/>
      <color theme="1"/>
      <name val="Times New Roman"/>
      <family val="1"/>
      <charset val="163"/>
    </font>
    <font>
      <b/>
      <vertAlign val="subscript"/>
      <sz val="12"/>
      <color theme="1"/>
      <name val="Times New Roman"/>
      <family val="1"/>
      <charset val="163"/>
    </font>
    <font>
      <sz val="12"/>
      <color theme="1"/>
      <name val="Times New Roman"/>
      <family val="1"/>
      <charset val="163"/>
    </font>
    <font>
      <vertAlign val="subscript"/>
      <sz val="12"/>
      <color theme="1"/>
      <name val="Times New Roman"/>
      <family val="1"/>
      <charset val="163"/>
    </font>
    <font>
      <sz val="12"/>
      <color rgb="FF000000"/>
      <name val="Times New Roman"/>
      <family val="1"/>
      <charset val="163"/>
    </font>
    <font>
      <vertAlign val="subscript"/>
      <sz val="12"/>
      <color rgb="FF000000"/>
      <name val="Times New Roman"/>
      <family val="1"/>
      <charset val="163"/>
    </font>
    <font>
      <sz val="11"/>
      <color indexed="8"/>
      <name val="Calibri"/>
      <family val="2"/>
    </font>
    <font>
      <sz val="12"/>
      <color indexed="8"/>
      <name val=".VnTime"/>
      <family val="2"/>
    </font>
    <font>
      <sz val="12"/>
      <name val=".VnTime"/>
      <family val="2"/>
    </font>
    <font>
      <sz val="12"/>
      <name val="VNI-Times"/>
    </font>
    <font>
      <sz val="10"/>
      <name val=".VnTime"/>
      <family val="2"/>
    </font>
    <font>
      <sz val="10"/>
      <name val="AngsanaUPC"/>
      <family val="1"/>
    </font>
    <font>
      <sz val="10"/>
      <name val="??"/>
      <family val="3"/>
      <charset val="129"/>
    </font>
    <font>
      <sz val="12"/>
      <name val="|??¢¥¢¬¨Ï"/>
      <family val="1"/>
      <charset val="129"/>
    </font>
    <font>
      <sz val="14"/>
      <name val="뼻뮝"/>
      <family val="3"/>
      <charset val="129"/>
    </font>
    <font>
      <sz val="10"/>
      <name val="VNI-Times"/>
    </font>
    <font>
      <sz val="12"/>
      <name val="Arial"/>
      <family val="2"/>
    </font>
    <font>
      <sz val="12"/>
      <name val=".VnArial"/>
      <family val="2"/>
    </font>
    <font>
      <sz val="9"/>
      <name val="Arial"/>
      <family val="2"/>
    </font>
    <font>
      <b/>
      <sz val="10"/>
      <name val=".VnTimeh"/>
      <family val="2"/>
    </font>
    <font>
      <sz val="11"/>
      <name val=".VnTime"/>
      <family val="2"/>
    </font>
    <font>
      <sz val="12"/>
      <color indexed="8"/>
      <name val="¹ÙÅÁÃ¼"/>
      <family val="1"/>
      <charset val="129"/>
    </font>
    <font>
      <sz val="10"/>
      <name val="VNI-Helve-Condense"/>
    </font>
    <font>
      <sz val="10"/>
      <name val=".VnArial"/>
      <family val="2"/>
    </font>
    <font>
      <sz val="10"/>
      <name val="MS Sans Serif"/>
      <family val="2"/>
    </font>
    <font>
      <sz val="10"/>
      <name val="Arial Narrow"/>
      <family val="2"/>
    </font>
    <font>
      <sz val="13"/>
      <name val=".VnTime"/>
      <family val="2"/>
    </font>
    <font>
      <sz val="10"/>
      <name val="Times New Roman"/>
      <family val="1"/>
    </font>
    <font>
      <i/>
      <sz val="10"/>
      <name val="Times New Roman"/>
      <family val="1"/>
    </font>
    <font>
      <sz val="13"/>
      <color theme="1"/>
      <name val="Times New Roman"/>
      <family val="2"/>
    </font>
    <font>
      <sz val="9"/>
      <color theme="3"/>
      <name val="Aptos Narrow"/>
      <family val="2"/>
      <scheme val="minor"/>
    </font>
    <font>
      <sz val="12"/>
      <color theme="1"/>
      <name val=".VnTime"/>
      <family val="2"/>
    </font>
    <font>
      <sz val="12"/>
      <color theme="1"/>
      <name val="Times New Roman"/>
      <family val="2"/>
    </font>
    <font>
      <sz val="11"/>
      <name val="VNvogue"/>
    </font>
    <font>
      <sz val="11"/>
      <name val="VNvogue"/>
      <family val="2"/>
    </font>
    <font>
      <sz val="12"/>
      <name val="????"/>
      <charset val="136"/>
    </font>
    <font>
      <sz val="11"/>
      <name val="??"/>
      <family val="3"/>
      <charset val="129"/>
    </font>
    <font>
      <sz val="10"/>
      <color indexed="8"/>
      <name val="Arial"/>
      <family val="2"/>
    </font>
    <font>
      <b/>
      <u/>
      <sz val="14"/>
      <color indexed="8"/>
      <name val=".VnBook-AntiquaH"/>
      <family val="2"/>
    </font>
    <font>
      <sz val="16"/>
      <name val="VNarial"/>
      <family val="2"/>
    </font>
    <font>
      <b/>
      <i/>
      <sz val="10"/>
      <name val=".VnTimeH"/>
      <family val="2"/>
    </font>
    <font>
      <i/>
      <sz val="12"/>
      <color indexed="8"/>
      <name val=".VnBook-AntiquaH"/>
      <family val="2"/>
    </font>
    <font>
      <b/>
      <sz val="12"/>
      <color indexed="8"/>
      <name val=".VnBook-Antiqua"/>
      <family val="2"/>
    </font>
    <font>
      <i/>
      <sz val="12"/>
      <color indexed="8"/>
      <name val=".VnBook-Antiqua"/>
      <family val="2"/>
    </font>
    <font>
      <b/>
      <sz val="10"/>
      <name val="Helv"/>
    </font>
    <font>
      <sz val="11"/>
      <name val="VNtimes new roman"/>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color indexed="12"/>
      <name val="VNlucida sans"/>
      <family val="2"/>
    </font>
    <font>
      <b/>
      <sz val="16"/>
      <name val="VNlucida sans"/>
      <family val="2"/>
    </font>
    <font>
      <b/>
      <sz val="14"/>
      <color indexed="14"/>
      <name val="VNottawa"/>
      <family val="2"/>
    </font>
    <font>
      <b/>
      <sz val="16"/>
      <name val="VNottawa"/>
      <family val="2"/>
    </font>
    <font>
      <sz val="8"/>
      <name val="Arial"/>
      <family val="2"/>
    </font>
    <font>
      <b/>
      <sz val="12"/>
      <name val="Helv"/>
    </font>
    <font>
      <b/>
      <sz val="12"/>
      <name val="Arial"/>
      <family val="2"/>
    </font>
    <font>
      <b/>
      <sz val="11"/>
      <name val="Helv"/>
    </font>
    <font>
      <sz val="10"/>
      <name val="VNarial"/>
      <family val="2"/>
    </font>
    <font>
      <u/>
      <sz val="10"/>
      <color indexed="12"/>
      <name val="Arial"/>
      <family val="2"/>
    </font>
    <font>
      <sz val="11"/>
      <color indexed="32"/>
      <name val="VNI-Times"/>
    </font>
    <font>
      <sz val="9"/>
      <name val="VNswitzerlandCondensed"/>
      <family val="2"/>
    </font>
    <font>
      <sz val="10"/>
      <name val=" "/>
      <family val="1"/>
      <charset val="136"/>
    </font>
    <font>
      <sz val="12"/>
      <name val="바탕체"/>
      <family val="3"/>
    </font>
    <font>
      <sz val="12"/>
      <name val="뼻뮝"/>
      <family val="1"/>
      <charset val="129"/>
    </font>
    <font>
      <sz val="12"/>
      <name val="바탕체"/>
      <family val="1"/>
      <charset val="129"/>
    </font>
    <font>
      <sz val="10"/>
      <name val="굴림체"/>
      <family val="3"/>
      <charset val="129"/>
    </font>
    <font>
      <sz val="12"/>
      <name val="Courier"/>
      <family val="3"/>
    </font>
    <font>
      <sz val="12"/>
      <name val="VNtimes new roman"/>
      <family val="2"/>
    </font>
    <font>
      <sz val="10"/>
      <name val="Arial"/>
      <family val="2"/>
      <charset val="163"/>
    </font>
    <font>
      <sz val="11"/>
      <name val="VNI-Times"/>
    </font>
    <font>
      <sz val="11"/>
      <color theme="1"/>
      <name val="Arial"/>
      <family val="2"/>
      <charset val="163"/>
    </font>
    <font>
      <b/>
      <sz val="11"/>
      <color theme="1"/>
      <name val="Aptos Narrow"/>
      <family val="2"/>
      <scheme val="minor"/>
    </font>
    <font>
      <sz val="11"/>
      <name val="Times New Roman"/>
      <family val="1"/>
      <charset val="163"/>
    </font>
    <font>
      <b/>
      <sz val="12"/>
      <name val="Times New Roman"/>
      <family val="1"/>
      <charset val="163"/>
    </font>
    <font>
      <b/>
      <i/>
      <sz val="12"/>
      <name val="Times New Roman"/>
      <family val="1"/>
    </font>
    <font>
      <i/>
      <sz val="11"/>
      <color theme="1"/>
      <name val="Aptos Narrow"/>
      <family val="2"/>
      <charset val="163"/>
      <scheme val="minor"/>
    </font>
    <font>
      <sz val="11"/>
      <color theme="1"/>
      <name val="Aptos Display"/>
      <family val="1"/>
      <charset val="163"/>
      <scheme val="major"/>
    </font>
    <font>
      <sz val="11"/>
      <color theme="4"/>
      <name val="Aptos Display"/>
      <family val="1"/>
      <charset val="163"/>
      <scheme val="major"/>
    </font>
    <font>
      <b/>
      <sz val="11"/>
      <color theme="1"/>
      <name val="Aptos Display"/>
      <family val="1"/>
      <charset val="163"/>
      <scheme val="major"/>
    </font>
    <font>
      <b/>
      <sz val="10"/>
      <color theme="4"/>
      <name val="Aptos Display"/>
      <family val="1"/>
      <charset val="163"/>
      <scheme val="major"/>
    </font>
    <font>
      <b/>
      <sz val="14"/>
      <color theme="1"/>
      <name val="Times New Roman"/>
      <family val="1"/>
    </font>
    <font>
      <b/>
      <sz val="10"/>
      <color rgb="FF000000"/>
      <name val="Aptos Display"/>
      <family val="1"/>
      <charset val="163"/>
      <scheme val="major"/>
    </font>
    <font>
      <sz val="10"/>
      <color rgb="FF000000"/>
      <name val="Aptos Display"/>
      <family val="1"/>
      <charset val="163"/>
      <scheme val="major"/>
    </font>
    <font>
      <b/>
      <i/>
      <sz val="10"/>
      <color rgb="FF000000"/>
      <name val="Aptos Display"/>
      <family val="1"/>
      <charset val="163"/>
      <scheme val="major"/>
    </font>
    <font>
      <vertAlign val="superscript"/>
      <sz val="10"/>
      <color rgb="FF000000"/>
      <name val="Aptos Display"/>
      <family val="1"/>
      <charset val="163"/>
      <scheme val="major"/>
    </font>
    <font>
      <b/>
      <sz val="10"/>
      <color theme="1"/>
      <name val="Aptos Display"/>
      <family val="1"/>
      <charset val="163"/>
      <scheme val="major"/>
    </font>
    <font>
      <sz val="10"/>
      <color theme="1"/>
      <name val="Aptos Display"/>
      <family val="1"/>
      <charset val="163"/>
      <scheme val="major"/>
    </font>
    <font>
      <b/>
      <sz val="12"/>
      <color indexed="8"/>
      <name val="Aptos Display"/>
      <family val="1"/>
      <charset val="163"/>
      <scheme val="major"/>
    </font>
    <font>
      <sz val="12"/>
      <color rgb="FF000000"/>
      <name val="Aptos Display"/>
      <family val="1"/>
      <charset val="163"/>
      <scheme val="major"/>
    </font>
    <font>
      <b/>
      <sz val="12"/>
      <color rgb="FF000000"/>
      <name val="Aptos Display"/>
      <family val="1"/>
      <charset val="163"/>
      <scheme val="major"/>
    </font>
    <font>
      <sz val="12"/>
      <color indexed="8"/>
      <name val="Aptos Display"/>
      <family val="1"/>
      <charset val="163"/>
      <scheme val="major"/>
    </font>
    <font>
      <sz val="12"/>
      <color theme="1"/>
      <name val="Aptos Display"/>
      <family val="1"/>
      <charset val="163"/>
      <scheme val="major"/>
    </font>
    <font>
      <i/>
      <sz val="11"/>
      <color indexed="27"/>
      <name val="Times New Roman"/>
      <family val="1"/>
      <charset val="163"/>
    </font>
    <font>
      <i/>
      <sz val="11"/>
      <color rgb="FFC00000"/>
      <name val="Times New Roman"/>
      <family val="1"/>
      <charset val="163"/>
    </font>
    <font>
      <sz val="11"/>
      <color rgb="FFFF0000"/>
      <name val="Times New Roman"/>
      <family val="1"/>
    </font>
    <font>
      <sz val="12"/>
      <color theme="1"/>
      <name val="Aptos Narrow"/>
      <family val="2"/>
      <charset val="163"/>
      <scheme val="minor"/>
    </font>
    <font>
      <b/>
      <sz val="12"/>
      <color theme="1"/>
      <name val="Aptos Display"/>
      <family val="1"/>
      <charset val="163"/>
      <scheme val="major"/>
    </font>
    <font>
      <b/>
      <i/>
      <sz val="12"/>
      <color rgb="FF000000"/>
      <name val="Aptos Display"/>
      <family val="1"/>
      <charset val="163"/>
      <scheme val="major"/>
    </font>
    <font>
      <b/>
      <sz val="12"/>
      <color theme="1"/>
      <name val="Times New Roman"/>
      <family val="1"/>
    </font>
    <font>
      <sz val="12"/>
      <color theme="1"/>
      <name val="Times New Roman"/>
      <family val="1"/>
    </font>
    <font>
      <sz val="11"/>
      <name val="UVnTime"/>
    </font>
    <font>
      <sz val="10"/>
      <color rgb="FF000000"/>
      <name val="Times New Roman"/>
      <family val="1"/>
    </font>
    <font>
      <sz val="12"/>
      <name val="Arial Narrow"/>
      <family val="2"/>
    </font>
    <font>
      <sz val="8.25"/>
      <name val="Times New Roman"/>
      <family val="1"/>
    </font>
    <font>
      <b/>
      <sz val="8.25"/>
      <name val="Times New Roman"/>
      <family val="1"/>
    </font>
    <font>
      <sz val="12"/>
      <color rgb="FF000000"/>
      <name val="Times New Roman"/>
      <family val="1"/>
    </font>
    <font>
      <vertAlign val="superscript"/>
      <sz val="12"/>
      <color theme="1"/>
      <name val="Times New Roman"/>
      <family val="1"/>
    </font>
    <font>
      <sz val="12"/>
      <color theme="1"/>
      <name val="Calibri"/>
      <family val="2"/>
    </font>
    <font>
      <i/>
      <sz val="12"/>
      <color theme="1"/>
      <name val="Times New Roman"/>
      <family val="1"/>
    </font>
    <font>
      <vertAlign val="subscript"/>
      <sz val="12"/>
      <color theme="1"/>
      <name val="Times New Roman"/>
      <family val="1"/>
    </font>
    <font>
      <sz val="12"/>
      <name val="Aptos Display"/>
      <family val="1"/>
      <charset val="163"/>
      <scheme val="major"/>
    </font>
    <font>
      <sz val="12"/>
      <name val="Times New Roman"/>
      <family val="1"/>
      <charset val="163"/>
    </font>
    <font>
      <b/>
      <sz val="14"/>
      <name val="Times New Roman"/>
      <family val="1"/>
    </font>
    <font>
      <b/>
      <sz val="12"/>
      <color rgb="FF000000"/>
      <name val="Times New Roman"/>
      <family val="1"/>
      <charset val="163"/>
    </font>
    <font>
      <b/>
      <sz val="11"/>
      <color rgb="FF000000"/>
      <name val="Times New Roman"/>
      <family val="1"/>
    </font>
    <font>
      <b/>
      <sz val="14"/>
      <color indexed="8"/>
      <name val="Times New Roman"/>
      <family val="1"/>
    </font>
    <font>
      <b/>
      <sz val="13"/>
      <color theme="1"/>
      <name val="Times New Roman"/>
      <family val="1"/>
    </font>
    <font>
      <b/>
      <sz val="13"/>
      <color indexed="8"/>
      <name val="Times New Roman"/>
      <family val="1"/>
    </font>
    <font>
      <b/>
      <sz val="13"/>
      <color rgb="FF000000"/>
      <name val="Times New Roman"/>
      <family val="1"/>
    </font>
    <font>
      <sz val="14"/>
      <color theme="1"/>
      <name val="Times New Roman"/>
      <family val="1"/>
    </font>
    <font>
      <sz val="13"/>
      <color rgb="FF000000"/>
      <name val="Times New Roman"/>
      <family val="1"/>
    </font>
    <font>
      <vertAlign val="subscript"/>
      <sz val="11"/>
      <name val="Times New Roman"/>
      <family val="1"/>
    </font>
    <font>
      <sz val="12"/>
      <color theme="1"/>
      <name val="Aptos"/>
      <family val="2"/>
    </font>
    <font>
      <i/>
      <sz val="12"/>
      <color rgb="FF000000"/>
      <name val="Times New Roman"/>
      <family val="1"/>
    </font>
    <font>
      <i/>
      <sz val="12"/>
      <color theme="1"/>
      <name val="Aptos"/>
      <family val="2"/>
    </font>
    <font>
      <i/>
      <sz val="11"/>
      <color theme="1"/>
      <name val="Aptos Display"/>
      <family val="1"/>
      <charset val="163"/>
      <scheme val="major"/>
    </font>
    <font>
      <b/>
      <sz val="16"/>
      <name val="Times New Roman"/>
      <family val="1"/>
    </font>
    <font>
      <sz val="11"/>
      <name val="Aptos Display"/>
      <family val="1"/>
      <charset val="163"/>
      <scheme val="major"/>
    </font>
    <font>
      <b/>
      <vertAlign val="superscript"/>
      <sz val="11"/>
      <color theme="1"/>
      <name val="Times New Roman"/>
      <family val="1"/>
    </font>
    <font>
      <b/>
      <sz val="11"/>
      <color theme="1"/>
      <name val="Calibri"/>
      <family val="2"/>
    </font>
    <font>
      <sz val="11"/>
      <name val="Aptos Narrow"/>
      <family val="2"/>
      <charset val="163"/>
      <scheme val="minor"/>
    </font>
    <font>
      <i/>
      <sz val="11"/>
      <color theme="1"/>
      <name val="Times New Roman"/>
      <family val="1"/>
    </font>
    <font>
      <sz val="14"/>
      <color theme="1"/>
      <name val="Aptos Narrow"/>
      <family val="2"/>
      <charset val="163"/>
      <scheme val="minor"/>
    </font>
    <font>
      <sz val="12"/>
      <name val="Microsoft Sans Serif"/>
      <family val="2"/>
    </font>
    <font>
      <b/>
      <u/>
      <sz val="11"/>
      <name val="Times New Roman"/>
      <family val="1"/>
    </font>
  </fonts>
  <fills count="8">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indexed="9"/>
        <bgColor indexed="64"/>
      </patternFill>
    </fill>
    <fill>
      <patternFill patternType="solid">
        <fgColor indexed="22"/>
        <bgColor indexed="64"/>
      </patternFill>
    </fill>
    <fill>
      <patternFill patternType="solid">
        <fgColor indexed="58"/>
        <bgColor indexed="64"/>
      </patternFill>
    </fill>
    <fill>
      <patternFill patternType="solid">
        <fgColor theme="0"/>
        <bgColor indexed="64"/>
      </patternFill>
    </fill>
  </fills>
  <borders count="54">
    <border>
      <left/>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style="medium">
        <color indexed="64"/>
      </right>
      <top style="thin">
        <color rgb="FF000000"/>
      </top>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right style="thin">
        <color rgb="FF000000"/>
      </right>
      <top/>
      <bottom style="thin">
        <color rgb="FF000000"/>
      </bottom>
      <diagonal/>
    </border>
    <border>
      <left style="medium">
        <color indexed="64"/>
      </left>
      <right style="medium">
        <color indexed="64"/>
      </right>
      <top style="thin">
        <color rgb="FF000000"/>
      </top>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ck">
        <color indexed="12"/>
      </left>
      <right/>
      <top style="thick">
        <color indexed="12"/>
      </top>
      <bottom/>
      <diagonal/>
    </border>
    <border>
      <left style="thick">
        <color indexed="64"/>
      </left>
      <right/>
      <top style="thick">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8"/>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top style="thin">
        <color indexed="64"/>
      </top>
      <bottom/>
      <diagonal/>
    </border>
    <border>
      <left style="thin">
        <color indexed="8"/>
      </left>
      <right style="thin">
        <color indexed="8"/>
      </right>
      <top/>
      <bottom style="hair">
        <color indexed="8"/>
      </bottom>
      <diagonal/>
    </border>
    <border>
      <left/>
      <right style="thin">
        <color indexed="8"/>
      </right>
      <top/>
      <bottom style="hair">
        <color indexed="8"/>
      </bottom>
      <diagonal/>
    </border>
    <border>
      <left style="thin">
        <color indexed="8"/>
      </left>
      <right style="thin">
        <color indexed="8"/>
      </right>
      <top/>
      <bottom style="thin">
        <color indexed="8"/>
      </bottom>
      <diagonal/>
    </border>
    <border>
      <left/>
      <right/>
      <top/>
      <bottom style="hair">
        <color indexed="8"/>
      </bottom>
      <diagonal/>
    </border>
    <border>
      <left/>
      <right style="thin">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hair">
        <color indexed="64"/>
      </top>
      <bottom/>
      <diagonal/>
    </border>
    <border>
      <left/>
      <right/>
      <top style="thin">
        <color indexed="8"/>
      </top>
      <bottom style="thin">
        <color indexed="64"/>
      </bottom>
      <diagonal/>
    </border>
  </borders>
  <cellStyleXfs count="225">
    <xf numFmtId="0" fontId="0" fillId="0" borderId="0"/>
    <xf numFmtId="165" fontId="2" fillId="0" borderId="0" applyFont="0" applyFill="0" applyBorder="0" applyAlignment="0" applyProtection="0"/>
    <xf numFmtId="9" fontId="2"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1" fillId="0" borderId="0"/>
    <xf numFmtId="174" fontId="4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4" fillId="0" borderId="0" applyFont="0" applyFill="0" applyBorder="0" applyAlignment="0" applyProtection="0"/>
    <xf numFmtId="175" fontId="44" fillId="0" borderId="0" applyFont="0" applyFill="0" applyBorder="0" applyAlignment="0" applyProtection="0"/>
    <xf numFmtId="0" fontId="45" fillId="0" borderId="28"/>
    <xf numFmtId="176" fontId="44" fillId="0" borderId="0" applyFont="0" applyFill="0" applyBorder="0" applyAlignment="0" applyProtection="0"/>
    <xf numFmtId="0" fontId="44"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46" fillId="0" borderId="0"/>
    <xf numFmtId="40" fontId="47" fillId="0" borderId="0" applyFont="0" applyFill="0" applyBorder="0" applyAlignment="0" applyProtection="0"/>
    <xf numFmtId="0" fontId="49" fillId="0" borderId="0"/>
    <xf numFmtId="178" fontId="50" fillId="0" borderId="0" applyFont="0" applyFill="0" applyBorder="0" applyAlignment="0" applyProtection="0"/>
    <xf numFmtId="177" fontId="51" fillId="0" borderId="0" applyFont="0" applyFill="0" applyBorder="0" applyAlignment="0" applyProtection="0"/>
    <xf numFmtId="179" fontId="43" fillId="0" borderId="0" applyFont="0" applyFill="0" applyBorder="0" applyAlignment="0" applyProtection="0"/>
    <xf numFmtId="0" fontId="52" fillId="0" borderId="23" applyFont="0" applyAlignment="0">
      <alignment horizontal="left"/>
    </xf>
    <xf numFmtId="0" fontId="52" fillId="0" borderId="23" applyFont="0" applyAlignment="0">
      <alignment horizontal="left"/>
    </xf>
    <xf numFmtId="0" fontId="53" fillId="5" borderId="0"/>
    <xf numFmtId="0" fontId="53" fillId="5" borderId="0"/>
    <xf numFmtId="0" fontId="52" fillId="0" borderId="23" applyFont="0" applyAlignment="0">
      <alignment horizontal="left"/>
    </xf>
    <xf numFmtId="9" fontId="54" fillId="0" borderId="0" applyBorder="0" applyAlignment="0" applyProtection="0"/>
    <xf numFmtId="0" fontId="53" fillId="5" borderId="0"/>
    <xf numFmtId="0" fontId="53" fillId="5"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40" fillId="0" borderId="0"/>
    <xf numFmtId="43" fontId="23" fillId="0" borderId="0" applyFont="0" applyFill="0" applyBorder="0" applyAlignment="0" applyProtection="0"/>
    <xf numFmtId="165" fontId="23" fillId="0" borderId="0" applyFont="0" applyFill="0" applyBorder="0" applyAlignment="0" applyProtection="0"/>
    <xf numFmtId="43" fontId="62" fillId="0" borderId="0" applyFont="0" applyFill="0" applyBorder="0" applyAlignment="0" applyProtection="0"/>
    <xf numFmtId="165" fontId="62" fillId="0" borderId="0" applyFont="0" applyFill="0" applyBorder="0" applyAlignment="0" applyProtection="0"/>
    <xf numFmtId="43" fontId="23" fillId="0" borderId="0" applyFont="0" applyFill="0" applyBorder="0" applyAlignment="0" applyProtection="0"/>
    <xf numFmtId="43" fontId="56" fillId="0" borderId="0" applyFont="0" applyFill="0" applyBorder="0" applyAlignment="0" applyProtection="0"/>
    <xf numFmtId="165" fontId="56"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1"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55" fillId="0" borderId="0"/>
    <xf numFmtId="0" fontId="63" fillId="0" borderId="0">
      <alignment vertical="center"/>
    </xf>
    <xf numFmtId="0" fontId="1" fillId="0" borderId="0"/>
    <xf numFmtId="0" fontId="64" fillId="0" borderId="0"/>
    <xf numFmtId="0" fontId="56" fillId="0" borderId="0"/>
    <xf numFmtId="0" fontId="3" fillId="0" borderId="0">
      <protection locked="0"/>
    </xf>
    <xf numFmtId="0" fontId="23" fillId="0" borderId="0"/>
    <xf numFmtId="0" fontId="58" fillId="0" borderId="0"/>
    <xf numFmtId="0" fontId="49" fillId="0" borderId="0"/>
    <xf numFmtId="0" fontId="39" fillId="0" borderId="0"/>
    <xf numFmtId="0" fontId="64" fillId="0" borderId="0"/>
    <xf numFmtId="0" fontId="3" fillId="0" borderId="0">
      <protection locked="0"/>
    </xf>
    <xf numFmtId="0" fontId="23" fillId="0" borderId="0"/>
    <xf numFmtId="0" fontId="62" fillId="0" borderId="0"/>
    <xf numFmtId="0" fontId="23" fillId="0" borderId="0"/>
    <xf numFmtId="0" fontId="23" fillId="0" borderId="0"/>
    <xf numFmtId="0" fontId="41" fillId="0" borderId="0"/>
    <xf numFmtId="0" fontId="23" fillId="0" borderId="0"/>
    <xf numFmtId="0" fontId="3" fillId="0" borderId="0">
      <protection locked="0"/>
    </xf>
    <xf numFmtId="0" fontId="2" fillId="0" borderId="0"/>
    <xf numFmtId="0" fontId="23" fillId="0" borderId="0"/>
    <xf numFmtId="0" fontId="23" fillId="0" borderId="0"/>
    <xf numFmtId="0" fontId="48" fillId="0" borderId="0"/>
    <xf numFmtId="0" fontId="10" fillId="0" borderId="0" applyAlignment="0">
      <alignment vertical="top" wrapText="1"/>
      <protection locked="0"/>
    </xf>
    <xf numFmtId="0" fontId="65" fillId="0" borderId="0"/>
    <xf numFmtId="0" fontId="3" fillId="0" borderId="0">
      <protection locked="0"/>
    </xf>
    <xf numFmtId="9" fontId="1" fillId="0" borderId="0" applyFont="0" applyFill="0" applyBorder="0" applyAlignment="0" applyProtection="0"/>
    <xf numFmtId="0" fontId="64" fillId="0" borderId="0"/>
    <xf numFmtId="0" fontId="64" fillId="0" borderId="0"/>
    <xf numFmtId="0" fontId="64" fillId="0" borderId="0"/>
    <xf numFmtId="0" fontId="66" fillId="0" borderId="0"/>
    <xf numFmtId="0" fontId="23" fillId="0" borderId="0"/>
    <xf numFmtId="183" fontId="23" fillId="0" borderId="0" applyFont="0" applyFill="0" applyBorder="0" applyAlignment="0" applyProtection="0"/>
    <xf numFmtId="164" fontId="68" fillId="0" borderId="0" applyFont="0" applyFill="0" applyBorder="0" applyAlignment="0" applyProtection="0"/>
    <xf numFmtId="9" fontId="69" fillId="0" borderId="0" applyFont="0" applyFill="0" applyBorder="0" applyAlignment="0" applyProtection="0"/>
    <xf numFmtId="0" fontId="70" fillId="0" borderId="0">
      <alignment vertical="top"/>
    </xf>
    <xf numFmtId="0" fontId="102" fillId="0" borderId="0"/>
    <xf numFmtId="0" fontId="71" fillId="5" borderId="0"/>
    <xf numFmtId="0" fontId="72" fillId="0" borderId="0"/>
    <xf numFmtId="180" fontId="73" fillId="0" borderId="0">
      <alignment horizontal="centerContinuous"/>
    </xf>
    <xf numFmtId="0" fontId="74" fillId="5" borderId="0"/>
    <xf numFmtId="0" fontId="75" fillId="5" borderId="0"/>
    <xf numFmtId="0" fontId="76" fillId="0" borderId="0">
      <alignment wrapText="1"/>
    </xf>
    <xf numFmtId="0" fontId="3" fillId="0" borderId="0">
      <protection locked="0"/>
    </xf>
    <xf numFmtId="0" fontId="77" fillId="0" borderId="0"/>
    <xf numFmtId="43" fontId="23" fillId="0" borderId="0" applyFont="0" applyFill="0" applyBorder="0" applyAlignment="0" applyProtection="0"/>
    <xf numFmtId="43" fontId="67" fillId="0" borderId="0" applyFont="0" applyFill="0" applyBorder="0" applyAlignment="0" applyProtection="0"/>
    <xf numFmtId="165" fontId="23" fillId="0" borderId="0" applyFont="0" applyFill="0" applyBorder="0" applyAlignment="0" applyProtection="0"/>
    <xf numFmtId="43" fontId="102" fillId="0" borderId="0" applyFont="0" applyFill="0" applyBorder="0" applyAlignment="0" applyProtection="0"/>
    <xf numFmtId="43" fontId="67" fillId="0" borderId="0" applyFont="0" applyFill="0" applyBorder="0" applyAlignment="0" applyProtection="0"/>
    <xf numFmtId="43" fontId="23" fillId="0" borderId="0" applyFont="0" applyFill="0" applyBorder="0" applyAlignment="0" applyProtection="0"/>
    <xf numFmtId="194" fontId="91" fillId="0" borderId="0" applyFill="0" applyBorder="0" applyAlignment="0" applyProtection="0"/>
    <xf numFmtId="43" fontId="91" fillId="0" borderId="0" applyFont="0" applyFill="0" applyBorder="0" applyAlignment="0" applyProtection="0"/>
    <xf numFmtId="43" fontId="102" fillId="0" borderId="0" applyFont="0" applyFill="0" applyBorder="0" applyAlignment="0" applyProtection="0"/>
    <xf numFmtId="43" fontId="101" fillId="0" borderId="0" applyFont="0" applyFill="0" applyBorder="0" applyAlignment="0" applyProtection="0"/>
    <xf numFmtId="43" fontId="23" fillId="0" borderId="0" applyFont="0" applyFill="0" applyBorder="0" applyAlignment="0" applyProtection="0"/>
    <xf numFmtId="43" fontId="91" fillId="0" borderId="0" applyFont="0" applyFill="0" applyBorder="0" applyAlignment="0" applyProtection="0"/>
    <xf numFmtId="43" fontId="39" fillId="0" borderId="0" applyFont="0" applyFill="0" applyBorder="0" applyAlignment="0" applyProtection="0"/>
    <xf numFmtId="40" fontId="57" fillId="0" borderId="0" applyFont="0" applyFill="0" applyBorder="0" applyAlignment="0" applyProtection="0"/>
    <xf numFmtId="3" fontId="23" fillId="0" borderId="0" applyFont="0" applyFill="0" applyBorder="0" applyAlignment="0" applyProtection="0"/>
    <xf numFmtId="184" fontId="78" fillId="0" borderId="0" applyFont="0" applyFill="0" applyBorder="0" applyAlignment="0" applyProtection="0"/>
    <xf numFmtId="0"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0" fontId="61" fillId="0" borderId="0">
      <alignment vertical="center"/>
    </xf>
    <xf numFmtId="2" fontId="23" fillId="0" borderId="0" applyFont="0" applyFill="0" applyBorder="0" applyAlignment="0" applyProtection="0"/>
    <xf numFmtId="0" fontId="79" fillId="0" borderId="0" applyNumberFormat="0" applyFill="0" applyBorder="0" applyProtection="0"/>
    <xf numFmtId="0" fontId="80" fillId="0" borderId="0" applyNumberFormat="0" applyFill="0" applyBorder="0" applyProtection="0">
      <alignment vertical="center"/>
    </xf>
    <xf numFmtId="0" fontId="81" fillId="0" borderId="0" applyNumberFormat="0" applyFill="0" applyBorder="0" applyAlignment="0" applyProtection="0"/>
    <xf numFmtId="0" fontId="82" fillId="0" borderId="0" applyNumberFormat="0" applyFill="0" applyBorder="0" applyProtection="0">
      <alignment vertical="center"/>
    </xf>
    <xf numFmtId="185" fontId="83" fillId="0" borderId="29" applyNumberFormat="0" applyFill="0" applyBorder="0" applyAlignment="0" applyProtection="0"/>
    <xf numFmtId="0" fontId="84" fillId="0" borderId="0" applyNumberFormat="0" applyFill="0" applyBorder="0" applyAlignment="0" applyProtection="0"/>
    <xf numFmtId="0" fontId="81" fillId="0" borderId="0" applyNumberFormat="0" applyFill="0" applyBorder="0" applyAlignment="0" applyProtection="0"/>
    <xf numFmtId="185" fontId="85" fillId="0" borderId="30" applyNumberFormat="0" applyFill="0" applyBorder="0" applyAlignment="0" applyProtection="0"/>
    <xf numFmtId="0" fontId="86" fillId="0" borderId="0" applyNumberFormat="0" applyFill="0" applyBorder="0" applyAlignment="0" applyProtection="0"/>
    <xf numFmtId="169" fontId="32" fillId="0" borderId="0">
      <alignment horizontal="right" vertical="top"/>
    </xf>
    <xf numFmtId="38" fontId="87" fillId="4" borderId="0" applyNumberFormat="0" applyBorder="0" applyAlignment="0" applyProtection="0"/>
    <xf numFmtId="0" fontId="88" fillId="0" borderId="0">
      <alignment horizontal="left"/>
    </xf>
    <xf numFmtId="0" fontId="89" fillId="0" borderId="31" applyNumberFormat="0" applyAlignment="0" applyProtection="0">
      <alignment horizontal="left" vertical="center"/>
    </xf>
    <xf numFmtId="0" fontId="89" fillId="0" borderId="26">
      <alignment horizontal="left" vertical="center"/>
    </xf>
    <xf numFmtId="10" fontId="87" fillId="4" borderId="17" applyNumberFormat="0" applyBorder="0" applyAlignment="0" applyProtection="0"/>
    <xf numFmtId="0" fontId="90" fillId="0" borderId="32"/>
    <xf numFmtId="0" fontId="49" fillId="0" borderId="0" applyNumberFormat="0" applyFont="0" applyFill="0" applyAlignment="0"/>
    <xf numFmtId="186" fontId="91" fillId="0" borderId="0"/>
    <xf numFmtId="0" fontId="3" fillId="0" borderId="0">
      <protection locked="0"/>
    </xf>
    <xf numFmtId="0" fontId="3" fillId="0" borderId="0">
      <protection locked="0"/>
    </xf>
    <xf numFmtId="0" fontId="62" fillId="0" borderId="0"/>
    <xf numFmtId="2" fontId="43" fillId="0" borderId="0"/>
    <xf numFmtId="0" fontId="10" fillId="0" borderId="0"/>
    <xf numFmtId="0" fontId="23" fillId="0" borderId="0"/>
    <xf numFmtId="0" fontId="67" fillId="0" borderId="0"/>
    <xf numFmtId="0" fontId="104" fillId="0" borderId="0"/>
    <xf numFmtId="0" fontId="23" fillId="0" borderId="0"/>
    <xf numFmtId="0" fontId="23" fillId="0" borderId="0"/>
    <xf numFmtId="0" fontId="23" fillId="0" borderId="0"/>
    <xf numFmtId="0" fontId="91" fillId="0" borderId="0"/>
    <xf numFmtId="0" fontId="23" fillId="0" borderId="0">
      <alignment vertical="top"/>
    </xf>
    <xf numFmtId="0" fontId="60" fillId="0" borderId="0"/>
    <xf numFmtId="0" fontId="23" fillId="0" borderId="0"/>
    <xf numFmtId="2" fontId="43" fillId="0" borderId="0"/>
    <xf numFmtId="0" fontId="62" fillId="0" borderId="0"/>
    <xf numFmtId="0" fontId="1" fillId="0" borderId="0"/>
    <xf numFmtId="0" fontId="91" fillId="0" borderId="0"/>
    <xf numFmtId="0" fontId="102" fillId="0" borderId="0"/>
    <xf numFmtId="0" fontId="23" fillId="0" borderId="0"/>
    <xf numFmtId="0" fontId="67" fillId="0" borderId="0"/>
    <xf numFmtId="0" fontId="66" fillId="0" borderId="0"/>
    <xf numFmtId="0" fontId="103" fillId="0" borderId="0">
      <alignment vertical="center"/>
    </xf>
    <xf numFmtId="0" fontId="23" fillId="0" borderId="0"/>
    <xf numFmtId="0" fontId="41" fillId="0" borderId="0"/>
    <xf numFmtId="0" fontId="32" fillId="0" borderId="0">
      <alignment horizontal="left" vertical="top" wrapText="1"/>
    </xf>
    <xf numFmtId="10" fontId="23" fillId="0" borderId="0" applyFont="0" applyFill="0" applyBorder="0" applyAlignment="0" applyProtection="0"/>
    <xf numFmtId="9" fontId="67" fillId="0" borderId="0" applyFont="0" applyFill="0" applyBorder="0" applyAlignment="0" applyProtection="0"/>
    <xf numFmtId="9" fontId="91" fillId="0" borderId="0" applyFont="0" applyFill="0" applyBorder="0" applyAlignment="0" applyProtection="0"/>
    <xf numFmtId="0" fontId="92" fillId="0" borderId="0" applyNumberFormat="0" applyFill="0" applyBorder="0" applyAlignment="0" applyProtection="0">
      <alignment vertical="top"/>
      <protection locked="0"/>
    </xf>
    <xf numFmtId="0" fontId="23" fillId="6" borderId="0"/>
    <xf numFmtId="0" fontId="57" fillId="0" borderId="0"/>
    <xf numFmtId="0" fontId="93" fillId="0" borderId="0"/>
    <xf numFmtId="0" fontId="90" fillId="0" borderId="0"/>
    <xf numFmtId="187" fontId="59" fillId="0" borderId="19">
      <alignment horizontal="right" vertical="center"/>
    </xf>
    <xf numFmtId="188" fontId="59" fillId="0" borderId="19">
      <alignment horizontal="center"/>
    </xf>
    <xf numFmtId="3" fontId="94" fillId="0" borderId="0" applyFill="0">
      <alignment vertical="center"/>
    </xf>
    <xf numFmtId="0" fontId="32" fillId="0" borderId="0">
      <alignment horizontal="center" vertical="top" wrapText="1"/>
    </xf>
    <xf numFmtId="189" fontId="59" fillId="0" borderId="0"/>
    <xf numFmtId="190" fontId="59" fillId="0" borderId="17"/>
    <xf numFmtId="181" fontId="23" fillId="0" borderId="0" applyFont="0" applyFill="0" applyBorder="0" applyAlignment="0" applyProtection="0"/>
    <xf numFmtId="182" fontId="23" fillId="0" borderId="0" applyFon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22" fillId="0" borderId="0">
      <alignment vertical="center"/>
    </xf>
    <xf numFmtId="40" fontId="47" fillId="0" borderId="0" applyFont="0" applyFill="0" applyBorder="0" applyAlignment="0" applyProtection="0"/>
    <xf numFmtId="38"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9" fontId="96" fillId="0" borderId="0" applyFont="0" applyFill="0" applyBorder="0" applyAlignment="0" applyProtection="0"/>
    <xf numFmtId="0" fontId="97" fillId="0" borderId="0"/>
    <xf numFmtId="191" fontId="98" fillId="0" borderId="0" applyFont="0" applyFill="0" applyBorder="0" applyAlignment="0" applyProtection="0"/>
    <xf numFmtId="192" fontId="98" fillId="0" borderId="0" applyFont="0" applyFill="0" applyBorder="0" applyAlignment="0" applyProtection="0"/>
    <xf numFmtId="0" fontId="99" fillId="0" borderId="0"/>
    <xf numFmtId="0" fontId="49" fillId="0" borderId="0"/>
    <xf numFmtId="164" fontId="51" fillId="0" borderId="0" applyFont="0" applyFill="0" applyBorder="0" applyAlignment="0" applyProtection="0"/>
    <xf numFmtId="165" fontId="51" fillId="0" borderId="0" applyFont="0" applyFill="0" applyBorder="0" applyAlignment="0" applyProtection="0"/>
    <xf numFmtId="177" fontId="51" fillId="0" borderId="0" applyFont="0" applyFill="0" applyBorder="0" applyAlignment="0" applyProtection="0"/>
    <xf numFmtId="6" fontId="100" fillId="0" borderId="0" applyFont="0" applyFill="0" applyBorder="0" applyAlignment="0" applyProtection="0"/>
    <xf numFmtId="193" fontId="51" fillId="0" borderId="0" applyFont="0" applyFill="0" applyBorder="0" applyAlignment="0" applyProtection="0"/>
    <xf numFmtId="0" fontId="66"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34" fillId="0" borderId="0"/>
    <xf numFmtId="0" fontId="134" fillId="0" borderId="0"/>
  </cellStyleXfs>
  <cellXfs count="765">
    <xf numFmtId="0" fontId="0" fillId="0" borderId="0" xfId="0"/>
    <xf numFmtId="0" fontId="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5" fillId="0" borderId="17" xfId="0" applyFont="1" applyBorder="1" applyAlignment="1" applyProtection="1">
      <alignment vertical="center" wrapText="1"/>
      <protection locked="0"/>
    </xf>
    <xf numFmtId="0" fontId="5" fillId="0" borderId="17" xfId="0" applyFont="1" applyBorder="1" applyAlignment="1" applyProtection="1">
      <alignment horizontal="center" vertical="center" wrapText="1"/>
      <protection locked="0"/>
    </xf>
    <xf numFmtId="3" fontId="5" fillId="0" borderId="17" xfId="0" applyNumberFormat="1" applyFont="1" applyBorder="1" applyAlignment="1" applyProtection="1">
      <alignment vertical="center" wrapText="1"/>
      <protection locked="0"/>
    </xf>
    <xf numFmtId="0" fontId="10" fillId="0" borderId="17" xfId="0" applyFont="1" applyBorder="1" applyAlignment="1" applyProtection="1">
      <alignment vertical="center" wrapText="1"/>
      <protection locked="0"/>
    </xf>
    <xf numFmtId="0" fontId="10" fillId="0" borderId="17" xfId="0" applyFont="1" applyBorder="1" applyAlignment="1" applyProtection="1">
      <alignment horizontal="center" vertical="center" wrapText="1"/>
      <protection locked="0"/>
    </xf>
    <xf numFmtId="3" fontId="10" fillId="0" borderId="17" xfId="0" applyNumberFormat="1" applyFont="1" applyBorder="1" applyAlignment="1" applyProtection="1">
      <alignment vertical="center" wrapText="1"/>
      <protection locked="0"/>
    </xf>
    <xf numFmtId="0" fontId="11" fillId="0" borderId="0" xfId="0" applyFont="1" applyAlignment="1">
      <alignment vertical="center"/>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right" vertical="center"/>
    </xf>
    <xf numFmtId="3" fontId="12" fillId="0" borderId="17" xfId="0" applyNumberFormat="1" applyFont="1" applyBorder="1" applyAlignment="1">
      <alignment vertical="center"/>
    </xf>
    <xf numFmtId="3" fontId="15" fillId="0" borderId="17" xfId="0" applyNumberFormat="1" applyFont="1" applyBorder="1" applyAlignment="1">
      <alignment vertical="center"/>
    </xf>
    <xf numFmtId="0" fontId="11" fillId="0" borderId="17" xfId="0" applyFont="1" applyBorder="1" applyAlignment="1">
      <alignment horizontal="right" vertical="center"/>
    </xf>
    <xf numFmtId="170" fontId="5" fillId="0" borderId="17" xfId="1"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168" fontId="10" fillId="0" borderId="17" xfId="0" applyNumberFormat="1" applyFont="1" applyBorder="1" applyAlignment="1" applyProtection="1">
      <alignment vertical="center" wrapText="1"/>
      <protection locked="0"/>
    </xf>
    <xf numFmtId="171" fontId="10" fillId="0" borderId="17" xfId="0" applyNumberFormat="1" applyFont="1" applyBorder="1" applyAlignment="1" applyProtection="1">
      <alignment vertical="center" wrapText="1"/>
      <protection locked="0"/>
    </xf>
    <xf numFmtId="170" fontId="17" fillId="0" borderId="17" xfId="1" applyNumberFormat="1" applyFont="1" applyBorder="1" applyAlignment="1" applyProtection="1">
      <alignment horizontal="right" vertical="center" wrapText="1"/>
      <protection locked="0"/>
    </xf>
    <xf numFmtId="0" fontId="11" fillId="0" borderId="0" xfId="0" applyFont="1" applyAlignment="1">
      <alignment vertical="center" wrapText="1"/>
    </xf>
    <xf numFmtId="0" fontId="8" fillId="0" borderId="0" xfId="0" applyFont="1"/>
    <xf numFmtId="0" fontId="18" fillId="3" borderId="6" xfId="0" applyFont="1" applyFill="1" applyBorder="1" applyAlignment="1">
      <alignment vertical="center" wrapText="1"/>
    </xf>
    <xf numFmtId="0" fontId="8" fillId="3" borderId="6" xfId="0" applyFont="1" applyFill="1" applyBorder="1" applyAlignment="1">
      <alignment vertical="center" wrapText="1"/>
    </xf>
    <xf numFmtId="0" fontId="8" fillId="3" borderId="6" xfId="0" applyFont="1" applyFill="1" applyBorder="1" applyAlignment="1">
      <alignment horizontal="center" vertical="center" wrapText="1"/>
    </xf>
    <xf numFmtId="0" fontId="18" fillId="0" borderId="0" xfId="0" applyFont="1" applyAlignment="1">
      <alignment horizontal="left" vertical="center" wrapText="1"/>
    </xf>
    <xf numFmtId="0" fontId="8" fillId="0" borderId="0" xfId="0" applyFont="1" applyAlignment="1">
      <alignment horizontal="left" vertical="center" wrapText="1"/>
    </xf>
    <xf numFmtId="0" fontId="19" fillId="0" borderId="0" xfId="0" applyFont="1"/>
    <xf numFmtId="0" fontId="20" fillId="3" borderId="6" xfId="0" applyFont="1" applyFill="1" applyBorder="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8" fillId="0" borderId="0" xfId="0" applyFont="1" applyAlignment="1">
      <alignment horizontal="left" vertical="center"/>
    </xf>
    <xf numFmtId="0" fontId="12" fillId="0" borderId="19" xfId="0" applyFont="1" applyBorder="1" applyAlignment="1">
      <alignment horizontal="right" vertical="center"/>
    </xf>
    <xf numFmtId="0" fontId="10" fillId="0" borderId="0" xfId="0" applyFont="1" applyAlignment="1" applyProtection="1">
      <alignment vertical="center" wrapText="1"/>
      <protection locked="0"/>
    </xf>
    <xf numFmtId="3" fontId="5" fillId="0" borderId="17"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3" fontId="10" fillId="0" borderId="17" xfId="0" applyNumberFormat="1"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8" fillId="3" borderId="17"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7" xfId="0" applyFont="1" applyFill="1" applyBorder="1" applyAlignment="1">
      <alignment vertical="center" wrapText="1"/>
    </xf>
    <xf numFmtId="0" fontId="0" fillId="2" borderId="0" xfId="0" applyFill="1"/>
    <xf numFmtId="3" fontId="22" fillId="0" borderId="0" xfId="3" applyNumberFormat="1" applyFont="1" applyFill="1" applyAlignment="1">
      <alignment horizontal="center" vertical="center"/>
    </xf>
    <xf numFmtId="3" fontId="22" fillId="0" borderId="0" xfId="3" applyNumberFormat="1" applyFont="1" applyFill="1" applyAlignment="1">
      <alignment vertical="center"/>
    </xf>
    <xf numFmtId="0" fontId="24" fillId="0" borderId="0" xfId="0" applyFont="1"/>
    <xf numFmtId="0" fontId="27" fillId="0" borderId="17" xfId="0" applyFont="1" applyBorder="1" applyAlignment="1">
      <alignment horizontal="center" vertical="center" wrapText="1"/>
    </xf>
    <xf numFmtId="0" fontId="0" fillId="0" borderId="17" xfId="0" applyBorder="1"/>
    <xf numFmtId="0" fontId="28" fillId="0" borderId="17" xfId="0" applyFont="1" applyBorder="1" applyAlignment="1">
      <alignment horizontal="center" vertical="center" wrapText="1"/>
    </xf>
    <xf numFmtId="0" fontId="28" fillId="0" borderId="17" xfId="0" applyFont="1" applyBorder="1" applyAlignment="1">
      <alignment horizontal="left" vertical="center" wrapText="1"/>
    </xf>
    <xf numFmtId="0" fontId="28" fillId="0" borderId="17" xfId="0" applyFont="1" applyBorder="1" applyAlignment="1">
      <alignment vertical="center" wrapText="1"/>
    </xf>
    <xf numFmtId="169" fontId="10" fillId="0" borderId="17" xfId="0" applyNumberFormat="1" applyFont="1" applyBorder="1" applyAlignment="1" applyProtection="1">
      <alignment vertical="center" wrapText="1"/>
      <protection locked="0"/>
    </xf>
    <xf numFmtId="3" fontId="30" fillId="0" borderId="17" xfId="0" applyNumberFormat="1" applyFont="1" applyBorder="1" applyAlignment="1">
      <alignment horizontal="right" vertical="center"/>
    </xf>
    <xf numFmtId="3" fontId="28" fillId="0" borderId="17" xfId="0" applyNumberFormat="1" applyFont="1" applyBorder="1" applyAlignment="1">
      <alignment horizontal="right" vertical="center" wrapText="1"/>
    </xf>
    <xf numFmtId="0" fontId="29" fillId="0" borderId="0" xfId="0" applyFont="1"/>
    <xf numFmtId="0" fontId="32" fillId="3" borderId="17" xfId="0" applyFont="1" applyFill="1" applyBorder="1" applyAlignment="1">
      <alignment horizontal="center" vertical="center" wrapText="1"/>
    </xf>
    <xf numFmtId="3" fontId="0" fillId="0" borderId="0" xfId="0" applyNumberFormat="1"/>
    <xf numFmtId="0" fontId="35" fillId="0" borderId="17" xfId="0" applyFont="1" applyBorder="1" applyAlignment="1">
      <alignment vertical="center" wrapText="1"/>
    </xf>
    <xf numFmtId="0" fontId="105" fillId="0" borderId="0" xfId="0" applyFont="1"/>
    <xf numFmtId="0" fontId="33" fillId="0" borderId="17" xfId="0" applyFont="1" applyBorder="1" applyAlignment="1">
      <alignment horizontal="center" vertical="center" wrapText="1"/>
    </xf>
    <xf numFmtId="0" fontId="33" fillId="0" borderId="17" xfId="0" applyFont="1" applyBorder="1" applyAlignment="1">
      <alignment vertical="center" wrapText="1"/>
    </xf>
    <xf numFmtId="3" fontId="33" fillId="0" borderId="17" xfId="0" applyNumberFormat="1" applyFont="1" applyBorder="1" applyAlignment="1">
      <alignment horizontal="right" vertical="center" wrapText="1"/>
    </xf>
    <xf numFmtId="0" fontId="35" fillId="0" borderId="17" xfId="0" applyFont="1" applyBorder="1" applyAlignment="1">
      <alignment horizontal="center" vertical="center" wrapText="1"/>
    </xf>
    <xf numFmtId="3" fontId="35" fillId="0" borderId="17" xfId="0" applyNumberFormat="1" applyFont="1" applyBorder="1" applyAlignment="1">
      <alignment horizontal="right" vertical="center" wrapText="1"/>
    </xf>
    <xf numFmtId="0" fontId="37" fillId="0" borderId="17" xfId="0" applyFont="1" applyBorder="1" applyAlignment="1">
      <alignment horizontal="center" vertical="center" wrapText="1"/>
    </xf>
    <xf numFmtId="0" fontId="37" fillId="0" borderId="17" xfId="0" applyFont="1" applyBorder="1" applyAlignment="1">
      <alignment vertical="center" wrapText="1"/>
    </xf>
    <xf numFmtId="3" fontId="37" fillId="0" borderId="17" xfId="0" applyNumberFormat="1" applyFont="1" applyBorder="1" applyAlignment="1">
      <alignment horizontal="right" vertical="center" wrapText="1"/>
    </xf>
    <xf numFmtId="0" fontId="35" fillId="0" borderId="17" xfId="0" applyFont="1" applyBorder="1" applyAlignment="1">
      <alignment horizontal="right" vertical="center" wrapText="1"/>
    </xf>
    <xf numFmtId="3" fontId="10" fillId="0" borderId="17" xfId="0" applyNumberFormat="1" applyFont="1" applyBorder="1" applyAlignment="1" applyProtection="1">
      <alignment horizontal="left" vertical="center" wrapText="1"/>
      <protection locked="0"/>
    </xf>
    <xf numFmtId="3" fontId="16" fillId="0" borderId="17" xfId="0" applyNumberFormat="1" applyFont="1" applyBorder="1" applyAlignment="1">
      <alignment horizontal="right" vertical="center"/>
    </xf>
    <xf numFmtId="0" fontId="106" fillId="0" borderId="17" xfId="0" applyFont="1" applyBorder="1" applyAlignment="1" applyProtection="1">
      <alignment vertical="center" wrapText="1"/>
      <protection locked="0"/>
    </xf>
    <xf numFmtId="0" fontId="106" fillId="0" borderId="0" xfId="0" applyFont="1" applyAlignment="1" applyProtection="1">
      <alignment vertical="center" wrapText="1"/>
      <protection locked="0"/>
    </xf>
    <xf numFmtId="3" fontId="15" fillId="0" borderId="17" xfId="0" applyNumberFormat="1" applyFont="1" applyBorder="1" applyAlignment="1">
      <alignment vertical="center" wrapText="1"/>
    </xf>
    <xf numFmtId="3" fontId="16" fillId="0" borderId="24" xfId="0" applyNumberFormat="1" applyFont="1" applyBorder="1" applyAlignment="1">
      <alignment vertical="center"/>
    </xf>
    <xf numFmtId="0" fontId="4" fillId="0" borderId="17" xfId="0" applyFont="1" applyBorder="1" applyAlignment="1">
      <alignment horizontal="right" vertical="center"/>
    </xf>
    <xf numFmtId="0" fontId="22" fillId="0" borderId="17" xfId="0" applyFont="1" applyBorder="1" applyAlignment="1">
      <alignment horizontal="right" vertical="center"/>
    </xf>
    <xf numFmtId="0" fontId="16"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xf>
    <xf numFmtId="0" fontId="4" fillId="0" borderId="23" xfId="0" applyFont="1" applyBorder="1" applyAlignment="1">
      <alignment horizontal="left" vertical="center" wrapText="1"/>
    </xf>
    <xf numFmtId="0" fontId="4" fillId="0" borderId="23" xfId="0" applyFont="1" applyBorder="1" applyAlignment="1">
      <alignment horizontal="right" vertical="center"/>
    </xf>
    <xf numFmtId="3" fontId="4" fillId="0" borderId="23" xfId="0" applyNumberFormat="1" applyFont="1" applyBorder="1" applyAlignment="1">
      <alignment vertical="center"/>
    </xf>
    <xf numFmtId="3" fontId="22" fillId="0" borderId="23" xfId="0" applyNumberFormat="1" applyFont="1" applyBorder="1" applyAlignment="1">
      <alignment horizontal="right" vertical="center"/>
    </xf>
    <xf numFmtId="4" fontId="0" fillId="0" borderId="0" xfId="0" applyNumberFormat="1"/>
    <xf numFmtId="0" fontId="108" fillId="0" borderId="23" xfId="0" applyFont="1" applyBorder="1" applyAlignment="1">
      <alignment horizontal="center" vertical="center"/>
    </xf>
    <xf numFmtId="0" fontId="109" fillId="0" borderId="0" xfId="0" applyFont="1"/>
    <xf numFmtId="3" fontId="22" fillId="0" borderId="24" xfId="0" applyNumberFormat="1" applyFont="1" applyBorder="1" applyAlignment="1">
      <alignment horizontal="right" vertical="center"/>
    </xf>
    <xf numFmtId="0" fontId="10" fillId="0" borderId="17" xfId="0" applyFont="1" applyBorder="1" applyAlignment="1">
      <alignment horizontal="left" vertical="center" wrapText="1"/>
    </xf>
    <xf numFmtId="0" fontId="114" fillId="0" borderId="0" xfId="4" applyFont="1"/>
    <xf numFmtId="0" fontId="110" fillId="0" borderId="0" xfId="0" applyFont="1"/>
    <xf numFmtId="0" fontId="111" fillId="0" borderId="17" xfId="0" applyFont="1" applyBorder="1"/>
    <xf numFmtId="0" fontId="111" fillId="0" borderId="20" xfId="0" applyFont="1" applyBorder="1"/>
    <xf numFmtId="0" fontId="18" fillId="3" borderId="17" xfId="0" applyFont="1" applyFill="1" applyBorder="1" applyAlignment="1">
      <alignment vertical="center" wrapText="1"/>
    </xf>
    <xf numFmtId="197" fontId="113" fillId="3" borderId="17" xfId="1" applyNumberFormat="1" applyFont="1" applyFill="1" applyBorder="1" applyAlignment="1">
      <alignment horizontal="center" vertical="center" wrapText="1"/>
    </xf>
    <xf numFmtId="197" fontId="111" fillId="0" borderId="17" xfId="1" applyNumberFormat="1" applyFont="1" applyBorder="1"/>
    <xf numFmtId="196" fontId="113" fillId="3" borderId="17" xfId="1" applyNumberFormat="1" applyFont="1" applyFill="1" applyBorder="1" applyAlignment="1">
      <alignment horizontal="center" vertical="center" wrapText="1"/>
    </xf>
    <xf numFmtId="0" fontId="115" fillId="3" borderId="17" xfId="0" applyFont="1" applyFill="1" applyBorder="1" applyAlignment="1">
      <alignment horizontal="center" vertical="center" wrapText="1"/>
    </xf>
    <xf numFmtId="0" fontId="115" fillId="2" borderId="17" xfId="0" applyFont="1" applyFill="1" applyBorder="1" applyAlignment="1">
      <alignment horizontal="center" vertical="center" wrapText="1"/>
    </xf>
    <xf numFmtId="0" fontId="116" fillId="3" borderId="17" xfId="0" applyFont="1" applyFill="1" applyBorder="1" applyAlignment="1">
      <alignment horizontal="center" vertical="center" wrapText="1"/>
    </xf>
    <xf numFmtId="0" fontId="116" fillId="3" borderId="17" xfId="0" applyFont="1" applyFill="1" applyBorder="1" applyAlignment="1">
      <alignment vertical="center" wrapText="1"/>
    </xf>
    <xf numFmtId="0" fontId="116" fillId="2" borderId="17" xfId="0" applyFont="1" applyFill="1" applyBorder="1" applyAlignment="1">
      <alignment horizontal="center" vertical="center" wrapText="1"/>
    </xf>
    <xf numFmtId="195" fontId="115" fillId="3" borderId="17" xfId="0" applyNumberFormat="1" applyFont="1" applyFill="1" applyBorder="1" applyAlignment="1">
      <alignment horizontal="center" vertical="center" wrapText="1"/>
    </xf>
    <xf numFmtId="0" fontId="115" fillId="3" borderId="17" xfId="0" applyFont="1" applyFill="1" applyBorder="1" applyAlignment="1">
      <alignment vertical="center" wrapText="1"/>
    </xf>
    <xf numFmtId="0" fontId="116" fillId="2" borderId="17" xfId="0" applyFont="1" applyFill="1" applyBorder="1" applyAlignment="1">
      <alignment vertical="center" wrapText="1"/>
    </xf>
    <xf numFmtId="0" fontId="110" fillId="0" borderId="17" xfId="0" applyFont="1" applyBorder="1"/>
    <xf numFmtId="0" fontId="117" fillId="3" borderId="17" xfId="0" applyFont="1" applyFill="1" applyBorder="1" applyAlignment="1">
      <alignment horizontal="center" vertical="center" wrapText="1"/>
    </xf>
    <xf numFmtId="0" fontId="117" fillId="3" borderId="17" xfId="0" applyFont="1" applyFill="1" applyBorder="1" applyAlignment="1">
      <alignment vertical="center" wrapText="1"/>
    </xf>
    <xf numFmtId="0" fontId="112" fillId="0" borderId="17" xfId="0" applyFont="1" applyBorder="1" applyAlignment="1">
      <alignment vertical="center" wrapText="1"/>
    </xf>
    <xf numFmtId="0" fontId="115" fillId="3" borderId="11" xfId="0" applyFont="1" applyFill="1" applyBorder="1" applyAlignment="1">
      <alignment horizontal="center" vertical="center" wrapText="1"/>
    </xf>
    <xf numFmtId="0" fontId="115" fillId="3" borderId="6" xfId="0" applyFont="1" applyFill="1" applyBorder="1" applyAlignment="1">
      <alignment horizontal="center" vertical="center" wrapText="1"/>
    </xf>
    <xf numFmtId="0" fontId="115" fillId="3" borderId="10" xfId="0" applyFont="1" applyFill="1" applyBorder="1" applyAlignment="1">
      <alignment horizontal="center" vertical="center" wrapText="1"/>
    </xf>
    <xf numFmtId="0" fontId="115" fillId="3" borderId="6" xfId="0" applyFont="1" applyFill="1" applyBorder="1" applyAlignment="1">
      <alignment vertical="center" wrapText="1"/>
    </xf>
    <xf numFmtId="0" fontId="116" fillId="3" borderId="6" xfId="0" applyFont="1" applyFill="1" applyBorder="1" applyAlignment="1">
      <alignment vertical="center" wrapText="1"/>
    </xf>
    <xf numFmtId="0" fontId="116" fillId="3" borderId="10" xfId="0" applyFont="1" applyFill="1" applyBorder="1" applyAlignment="1">
      <alignment vertical="center" wrapText="1"/>
    </xf>
    <xf numFmtId="0" fontId="116" fillId="3" borderId="11" xfId="0" applyFont="1" applyFill="1" applyBorder="1" applyAlignment="1">
      <alignment horizontal="center" vertical="center" wrapText="1"/>
    </xf>
    <xf numFmtId="0" fontId="116" fillId="3" borderId="6" xfId="0" applyFont="1" applyFill="1" applyBorder="1" applyAlignment="1">
      <alignment horizontal="center" vertical="center" wrapText="1"/>
    </xf>
    <xf numFmtId="0" fontId="116" fillId="3" borderId="10" xfId="0" applyFont="1" applyFill="1" applyBorder="1" applyAlignment="1">
      <alignment horizontal="center" vertical="center" wrapText="1"/>
    </xf>
    <xf numFmtId="0" fontId="116" fillId="3" borderId="12" xfId="0" applyFont="1" applyFill="1" applyBorder="1" applyAlignment="1">
      <alignment horizontal="center" vertical="center" wrapText="1"/>
    </xf>
    <xf numFmtId="0" fontId="116" fillId="3" borderId="13" xfId="0" applyFont="1" applyFill="1" applyBorder="1" applyAlignment="1">
      <alignment vertical="center" wrapText="1"/>
    </xf>
    <xf numFmtId="0" fontId="116" fillId="3" borderId="13" xfId="0" applyFont="1" applyFill="1" applyBorder="1" applyAlignment="1">
      <alignment horizontal="center" vertical="center" wrapText="1"/>
    </xf>
    <xf numFmtId="0" fontId="116" fillId="3" borderId="14" xfId="0" applyFont="1" applyFill="1" applyBorder="1" applyAlignment="1">
      <alignment horizontal="center" vertical="center" wrapText="1"/>
    </xf>
    <xf numFmtId="0" fontId="120" fillId="0" borderId="17" xfId="0" applyFont="1" applyBorder="1"/>
    <xf numFmtId="0" fontId="122" fillId="3" borderId="17" xfId="0" applyFont="1" applyFill="1" applyBorder="1" applyAlignment="1">
      <alignment vertical="center" wrapText="1"/>
    </xf>
    <xf numFmtId="0" fontId="122" fillId="3" borderId="17" xfId="0" applyFont="1" applyFill="1" applyBorder="1" applyAlignment="1">
      <alignment horizontal="center" vertical="center" wrapText="1"/>
    </xf>
    <xf numFmtId="0" fontId="123" fillId="3" borderId="17" xfId="0" applyFont="1" applyFill="1" applyBorder="1" applyAlignment="1">
      <alignment horizontal="center" vertical="center" wrapText="1"/>
    </xf>
    <xf numFmtId="0" fontId="123" fillId="3" borderId="17" xfId="0" applyFont="1" applyFill="1" applyBorder="1" applyAlignment="1">
      <alignment vertical="center" wrapText="1"/>
    </xf>
    <xf numFmtId="3" fontId="110" fillId="0" borderId="0" xfId="0" applyNumberFormat="1" applyFont="1"/>
    <xf numFmtId="4" fontId="11" fillId="0" borderId="0" xfId="0" applyNumberFormat="1" applyFont="1" applyAlignment="1">
      <alignment vertical="center" wrapText="1"/>
    </xf>
    <xf numFmtId="3" fontId="124" fillId="0" borderId="0" xfId="0" applyNumberFormat="1" applyFont="1" applyAlignment="1">
      <alignment vertical="center" wrapText="1"/>
    </xf>
    <xf numFmtId="3" fontId="125" fillId="0" borderId="0" xfId="0" applyNumberFormat="1" applyFont="1"/>
    <xf numFmtId="0" fontId="31" fillId="0" borderId="17" xfId="0" applyFont="1" applyBorder="1" applyAlignment="1" applyProtection="1">
      <alignment vertical="center" wrapText="1"/>
      <protection locked="0"/>
    </xf>
    <xf numFmtId="0" fontId="31" fillId="0" borderId="17" xfId="0" applyFont="1" applyBorder="1" applyAlignment="1" applyProtection="1">
      <alignment horizontal="center" vertical="center" wrapText="1"/>
      <protection locked="0"/>
    </xf>
    <xf numFmtId="0" fontId="126" fillId="0" borderId="17" xfId="0" applyFont="1" applyBorder="1" applyAlignment="1" applyProtection="1">
      <alignment horizontal="center" vertical="center" wrapText="1"/>
      <protection locked="0"/>
    </xf>
    <xf numFmtId="3" fontId="126" fillId="0" borderId="17" xfId="0" applyNumberFormat="1" applyFont="1" applyBorder="1" applyAlignment="1" applyProtection="1">
      <alignment vertical="center" wrapText="1"/>
      <protection locked="0"/>
    </xf>
    <xf numFmtId="170" fontId="31" fillId="0" borderId="17" xfId="1" applyNumberFormat="1" applyFont="1" applyBorder="1" applyAlignment="1" applyProtection="1">
      <alignment horizontal="right" vertical="center" wrapText="1"/>
      <protection locked="0"/>
    </xf>
    <xf numFmtId="3" fontId="127" fillId="0" borderId="17" xfId="0" applyNumberFormat="1" applyFont="1" applyBorder="1" applyAlignment="1" applyProtection="1">
      <alignment vertical="center" wrapText="1"/>
      <protection locked="0"/>
    </xf>
    <xf numFmtId="0" fontId="106" fillId="0" borderId="17" xfId="0" applyFont="1" applyBorder="1" applyAlignment="1" applyProtection="1">
      <alignment horizontal="center" vertical="center" wrapText="1"/>
      <protection locked="0"/>
    </xf>
    <xf numFmtId="3" fontId="106" fillId="0" borderId="17" xfId="0" applyNumberFormat="1" applyFont="1" applyBorder="1" applyAlignment="1" applyProtection="1">
      <alignment vertical="center" wrapText="1"/>
      <protection locked="0"/>
    </xf>
    <xf numFmtId="170" fontId="106" fillId="0" borderId="17" xfId="1" applyNumberFormat="1" applyFont="1" applyBorder="1" applyAlignment="1" applyProtection="1">
      <alignment vertical="center" wrapText="1"/>
      <protection locked="0"/>
    </xf>
    <xf numFmtId="0" fontId="27" fillId="0" borderId="20" xfId="0" applyFont="1" applyBorder="1" applyAlignment="1">
      <alignment horizontal="center" vertical="center" wrapText="1"/>
    </xf>
    <xf numFmtId="0" fontId="27" fillId="0" borderId="22" xfId="0" applyFont="1" applyBorder="1" applyAlignment="1">
      <alignment horizontal="center" vertical="center" wrapText="1"/>
    </xf>
    <xf numFmtId="0" fontId="0" fillId="0" borderId="0" xfId="0" applyFont="1"/>
    <xf numFmtId="0" fontId="125" fillId="0" borderId="0" xfId="0" applyFont="1" applyAlignment="1">
      <alignment vertical="center"/>
    </xf>
    <xf numFmtId="0" fontId="125" fillId="0" borderId="0" xfId="0" applyFont="1" applyAlignment="1"/>
    <xf numFmtId="0" fontId="125" fillId="0" borderId="0" xfId="0" applyFont="1"/>
    <xf numFmtId="0" fontId="125" fillId="0" borderId="0" xfId="0" applyFont="1" applyAlignment="1">
      <alignment horizontal="justify" vertical="center"/>
    </xf>
    <xf numFmtId="3" fontId="125" fillId="0" borderId="0" xfId="0" applyNumberFormat="1" applyFont="1" applyAlignment="1">
      <alignment vertical="center"/>
    </xf>
    <xf numFmtId="0" fontId="125" fillId="0" borderId="17" xfId="0" applyFont="1" applyBorder="1" applyAlignment="1">
      <alignment vertical="center"/>
    </xf>
    <xf numFmtId="0" fontId="125" fillId="0" borderId="17" xfId="0" applyFont="1" applyBorder="1" applyAlignment="1">
      <alignment horizontal="center" vertical="center"/>
    </xf>
    <xf numFmtId="0" fontId="125" fillId="0" borderId="17" xfId="0" applyFont="1" applyBorder="1" applyAlignment="1">
      <alignment horizontal="justify" vertical="center"/>
    </xf>
    <xf numFmtId="3" fontId="125" fillId="0" borderId="17" xfId="0" applyNumberFormat="1" applyFont="1" applyBorder="1" applyAlignment="1">
      <alignment vertical="center"/>
    </xf>
    <xf numFmtId="0" fontId="125" fillId="0" borderId="17" xfId="0" applyFont="1" applyBorder="1" applyAlignment="1">
      <alignment horizontal="center" vertical="center" wrapText="1"/>
    </xf>
    <xf numFmtId="10" fontId="125" fillId="0" borderId="17" xfId="2" applyNumberFormat="1" applyFont="1" applyBorder="1" applyAlignment="1">
      <alignment vertical="center"/>
    </xf>
    <xf numFmtId="10" fontId="125" fillId="0" borderId="0" xfId="0" applyNumberFormat="1" applyFont="1" applyAlignment="1"/>
    <xf numFmtId="3" fontId="125" fillId="0" borderId="0" xfId="0" applyNumberFormat="1" applyFont="1" applyAlignment="1"/>
    <xf numFmtId="0" fontId="6" fillId="0" borderId="0" xfId="0" applyFont="1" applyAlignment="1" applyProtection="1">
      <alignment vertical="center" wrapText="1"/>
      <protection locked="0"/>
    </xf>
    <xf numFmtId="0" fontId="12" fillId="0" borderId="17" xfId="0" applyFont="1" applyBorder="1" applyAlignment="1">
      <alignment horizontal="center" vertical="center"/>
    </xf>
    <xf numFmtId="0" fontId="5" fillId="0" borderId="17"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27" fillId="0" borderId="0" xfId="0" applyFont="1" applyBorder="1" applyAlignment="1">
      <alignment horizontal="center" vertical="center" wrapText="1"/>
    </xf>
    <xf numFmtId="3" fontId="28" fillId="0" borderId="0" xfId="0" applyNumberFormat="1" applyFont="1" applyBorder="1" applyAlignment="1">
      <alignment horizontal="right" vertical="center" wrapText="1"/>
    </xf>
    <xf numFmtId="0" fontId="128" fillId="7" borderId="17" xfId="0" applyFont="1" applyFill="1" applyBorder="1" applyAlignment="1">
      <alignment horizontal="center" vertical="center" wrapText="1"/>
    </xf>
    <xf numFmtId="0" fontId="10" fillId="7" borderId="17" xfId="0" applyFont="1" applyFill="1" applyBorder="1" applyAlignment="1">
      <alignment horizontal="center" vertical="center" wrapText="1"/>
    </xf>
    <xf numFmtId="173" fontId="0" fillId="0" borderId="0" xfId="0" applyNumberFormat="1"/>
    <xf numFmtId="0" fontId="6" fillId="0" borderId="0" xfId="0" applyFont="1" applyAlignment="1" applyProtection="1">
      <alignment vertical="center" wrapText="1"/>
      <protection locked="0"/>
    </xf>
    <xf numFmtId="0" fontId="12" fillId="0" borderId="17" xfId="0" applyFont="1" applyBorder="1" applyAlignment="1">
      <alignment horizontal="center" vertical="center"/>
    </xf>
    <xf numFmtId="0" fontId="5" fillId="0" borderId="17" xfId="0" applyFont="1" applyBorder="1" applyAlignment="1" applyProtection="1">
      <alignment horizontal="center" vertical="center" wrapText="1"/>
      <protection locked="0"/>
    </xf>
    <xf numFmtId="3" fontId="10" fillId="7" borderId="17" xfId="0" applyNumberFormat="1" applyFont="1" applyFill="1" applyBorder="1" applyAlignment="1">
      <alignment horizontal="right" vertical="center" wrapText="1"/>
    </xf>
    <xf numFmtId="0" fontId="0" fillId="7" borderId="0" xfId="0" applyFill="1"/>
    <xf numFmtId="0" fontId="129" fillId="0" borderId="0" xfId="0" applyFont="1"/>
    <xf numFmtId="0" fontId="129" fillId="0" borderId="17" xfId="0" applyFont="1" applyBorder="1"/>
    <xf numFmtId="0" fontId="131" fillId="3" borderId="17" xfId="0" applyFont="1" applyFill="1" applyBorder="1" applyAlignment="1">
      <alignment horizontal="center" vertical="center" wrapText="1"/>
    </xf>
    <xf numFmtId="0" fontId="131" fillId="3" borderId="17" xfId="0" applyFont="1" applyFill="1" applyBorder="1" applyAlignment="1">
      <alignment vertical="center" wrapText="1"/>
    </xf>
    <xf numFmtId="0" fontId="122" fillId="3" borderId="17" xfId="0" applyFont="1" applyFill="1" applyBorder="1" applyAlignment="1">
      <alignment horizontal="right" vertical="center" wrapText="1"/>
    </xf>
    <xf numFmtId="0" fontId="122" fillId="7" borderId="17" xfId="0" applyFont="1" applyFill="1" applyBorder="1" applyAlignment="1">
      <alignment horizontal="center" vertical="center" wrapText="1"/>
    </xf>
    <xf numFmtId="0" fontId="122" fillId="7" borderId="17" xfId="0" applyFont="1" applyFill="1" applyBorder="1" applyAlignment="1">
      <alignment vertical="center" wrapText="1"/>
    </xf>
    <xf numFmtId="0" fontId="129" fillId="7" borderId="17" xfId="0" applyFont="1" applyFill="1" applyBorder="1"/>
    <xf numFmtId="0" fontId="129" fillId="7" borderId="0" xfId="0" applyFont="1" applyFill="1"/>
    <xf numFmtId="0" fontId="13" fillId="3" borderId="17" xfId="0" applyFont="1" applyFill="1" applyBorder="1" applyAlignment="1">
      <alignment horizontal="center" vertical="center" wrapText="1"/>
    </xf>
    <xf numFmtId="3" fontId="130" fillId="0" borderId="17" xfId="0" applyNumberFormat="1" applyFont="1" applyBorder="1" applyAlignment="1">
      <alignment vertical="center"/>
    </xf>
    <xf numFmtId="169" fontId="125" fillId="0" borderId="17" xfId="0" applyNumberFormat="1" applyFont="1" applyBorder="1" applyAlignment="1">
      <alignment vertical="center"/>
    </xf>
    <xf numFmtId="3" fontId="125" fillId="7" borderId="17" xfId="0" applyNumberFormat="1" applyFont="1" applyFill="1" applyBorder="1" applyAlignment="1">
      <alignment vertical="center"/>
    </xf>
    <xf numFmtId="3" fontId="132" fillId="0" borderId="17" xfId="0" applyNumberFormat="1" applyFont="1" applyBorder="1" applyAlignment="1">
      <alignment vertical="center"/>
    </xf>
    <xf numFmtId="0" fontId="11" fillId="0" borderId="17" xfId="0" applyFont="1" applyBorder="1" applyAlignment="1">
      <alignment horizontal="center" vertical="center"/>
    </xf>
    <xf numFmtId="0" fontId="22" fillId="0" borderId="17" xfId="5" applyFont="1" applyBorder="1" applyAlignment="1">
      <alignment horizontal="center" vertical="center" wrapText="1"/>
    </xf>
    <xf numFmtId="166" fontId="10" fillId="0" borderId="17" xfId="0" applyNumberFormat="1" applyFont="1" applyBorder="1" applyAlignment="1" applyProtection="1">
      <alignment horizontal="center" vertical="center" wrapText="1"/>
      <protection locked="0"/>
    </xf>
    <xf numFmtId="37" fontId="10" fillId="0" borderId="17" xfId="0" applyNumberFormat="1" applyFont="1" applyBorder="1" applyAlignment="1" applyProtection="1">
      <alignment vertical="center" wrapText="1"/>
      <protection locked="0"/>
    </xf>
    <xf numFmtId="166" fontId="10" fillId="0" borderId="17" xfId="0" applyNumberFormat="1" applyFont="1" applyBorder="1" applyAlignment="1" applyProtection="1">
      <alignment vertical="center" wrapText="1"/>
      <protection locked="0"/>
    </xf>
    <xf numFmtId="0" fontId="5" fillId="0" borderId="17" xfId="0" applyFont="1" applyBorder="1" applyAlignment="1" applyProtection="1">
      <alignment horizontal="left" vertical="center" wrapText="1"/>
      <protection locked="0"/>
    </xf>
    <xf numFmtId="10" fontId="5" fillId="0" borderId="17" xfId="0" applyNumberFormat="1" applyFont="1" applyBorder="1" applyAlignment="1" applyProtection="1">
      <alignment horizontal="center" vertical="center" wrapText="1"/>
      <protection locked="0"/>
    </xf>
    <xf numFmtId="0" fontId="135" fillId="0" borderId="0" xfId="0" applyFont="1"/>
    <xf numFmtId="0" fontId="17" fillId="0" borderId="17" xfId="223" quotePrefix="1" applyFont="1" applyFill="1" applyBorder="1" applyAlignment="1">
      <alignment horizontal="center" vertical="center" wrapText="1"/>
    </xf>
    <xf numFmtId="3" fontId="17" fillId="0" borderId="17" xfId="223" quotePrefix="1" applyNumberFormat="1" applyFont="1" applyFill="1" applyBorder="1" applyAlignment="1">
      <alignment horizontal="center" vertical="center" wrapText="1"/>
    </xf>
    <xf numFmtId="166" fontId="10" fillId="7" borderId="17" xfId="0" applyNumberFormat="1" applyFont="1" applyFill="1" applyBorder="1" applyAlignment="1" applyProtection="1">
      <alignment horizontal="center" vertical="center" wrapText="1"/>
      <protection locked="0"/>
    </xf>
    <xf numFmtId="200" fontId="10" fillId="0" borderId="17" xfId="0" applyNumberFormat="1" applyFont="1" applyBorder="1" applyAlignment="1" applyProtection="1">
      <alignment vertical="center" wrapText="1"/>
      <protection locked="0"/>
    </xf>
    <xf numFmtId="166" fontId="5" fillId="0" borderId="17" xfId="0" applyNumberFormat="1" applyFont="1" applyBorder="1" applyAlignment="1" applyProtection="1">
      <alignment horizontal="center" vertical="center" wrapText="1"/>
      <protection locked="0"/>
    </xf>
    <xf numFmtId="166" fontId="5" fillId="7" borderId="17" xfId="0" applyNumberFormat="1" applyFont="1" applyFill="1" applyBorder="1" applyAlignment="1" applyProtection="1">
      <alignment horizontal="center" vertical="center" wrapText="1"/>
      <protection locked="0"/>
    </xf>
    <xf numFmtId="37" fontId="5" fillId="0" borderId="17" xfId="0" applyNumberFormat="1" applyFont="1" applyBorder="1" applyAlignment="1" applyProtection="1">
      <alignment vertical="center" wrapText="1"/>
      <protection locked="0"/>
    </xf>
    <xf numFmtId="166" fontId="5" fillId="0" borderId="17" xfId="0" applyNumberFormat="1" applyFont="1" applyBorder="1" applyAlignment="1" applyProtection="1">
      <alignment vertical="center" wrapText="1"/>
      <protection locked="0"/>
    </xf>
    <xf numFmtId="200" fontId="5" fillId="0" borderId="17" xfId="0" applyNumberFormat="1" applyFont="1" applyBorder="1" applyAlignment="1" applyProtection="1">
      <alignment vertical="center" wrapText="1"/>
      <protection locked="0"/>
    </xf>
    <xf numFmtId="167" fontId="5" fillId="0" borderId="17" xfId="0" applyNumberFormat="1" applyFont="1" applyBorder="1" applyAlignment="1" applyProtection="1">
      <alignment vertical="center" wrapText="1"/>
      <protection locked="0"/>
    </xf>
    <xf numFmtId="0" fontId="5" fillId="0" borderId="0" xfId="0" applyFont="1" applyAlignment="1" applyProtection="1">
      <alignment vertical="center" wrapText="1"/>
      <protection locked="0"/>
    </xf>
    <xf numFmtId="3" fontId="10" fillId="7" borderId="17" xfId="0" applyNumberFormat="1" applyFont="1" applyFill="1" applyBorder="1" applyAlignment="1" applyProtection="1">
      <alignment vertical="center" wrapText="1"/>
      <protection locked="0"/>
    </xf>
    <xf numFmtId="0" fontId="136" fillId="0" borderId="23" xfId="0" applyFont="1" applyBorder="1" applyAlignment="1" applyProtection="1">
      <alignment vertical="center" wrapText="1"/>
      <protection locked="0"/>
    </xf>
    <xf numFmtId="0" fontId="22" fillId="0" borderId="23" xfId="0" applyFont="1" applyBorder="1" applyAlignment="1" applyProtection="1">
      <alignment vertical="center" wrapText="1"/>
      <protection locked="0"/>
    </xf>
    <xf numFmtId="0" fontId="22" fillId="0" borderId="23" xfId="0" applyFont="1" applyBorder="1" applyAlignment="1" applyProtection="1">
      <alignment horizontal="center" vertical="center" wrapText="1"/>
      <protection locked="0"/>
    </xf>
    <xf numFmtId="195" fontId="22" fillId="0" borderId="23" xfId="0" applyNumberFormat="1" applyFont="1" applyBorder="1" applyAlignment="1" applyProtection="1">
      <alignment vertical="center" wrapText="1"/>
      <protection locked="0"/>
    </xf>
    <xf numFmtId="0" fontId="137" fillId="0" borderId="0" xfId="0" applyFont="1" applyAlignment="1" applyProtection="1">
      <alignment vertical="center" wrapText="1"/>
      <protection locked="0"/>
    </xf>
    <xf numFmtId="0" fontId="108" fillId="0" borderId="23" xfId="0" applyFont="1" applyBorder="1" applyAlignment="1">
      <alignment horizontal="center" vertical="center" wrapText="1"/>
    </xf>
    <xf numFmtId="195" fontId="108" fillId="0" borderId="23" xfId="0" applyNumberFormat="1" applyFont="1" applyBorder="1" applyAlignment="1">
      <alignment horizontal="center" vertical="center" wrapText="1"/>
    </xf>
    <xf numFmtId="3" fontId="108" fillId="0" borderId="23" xfId="0" applyNumberFormat="1" applyFont="1" applyBorder="1" applyAlignment="1">
      <alignment horizontal="right" vertical="center"/>
    </xf>
    <xf numFmtId="0" fontId="138" fillId="0" borderId="0" xfId="0" applyFont="1" applyAlignment="1" applyProtection="1">
      <alignment vertical="center" wrapText="1"/>
      <protection locked="0"/>
    </xf>
    <xf numFmtId="0" fontId="22" fillId="0" borderId="24" xfId="0" applyFont="1" applyBorder="1" applyAlignment="1" applyProtection="1">
      <alignment vertical="center" wrapText="1"/>
      <protection locked="0"/>
    </xf>
    <xf numFmtId="0" fontId="22" fillId="0" borderId="24" xfId="0" applyFont="1" applyBorder="1" applyAlignment="1" applyProtection="1">
      <alignment horizontal="center" vertical="center" wrapText="1"/>
      <protection locked="0"/>
    </xf>
    <xf numFmtId="195" fontId="22" fillId="0" borderId="24" xfId="0" applyNumberFormat="1" applyFont="1" applyBorder="1" applyAlignment="1" applyProtection="1">
      <alignment vertical="center" wrapText="1"/>
      <protection locked="0"/>
    </xf>
    <xf numFmtId="0" fontId="22" fillId="0" borderId="23" xfId="0" applyFont="1" applyBorder="1" applyAlignment="1">
      <alignment horizontal="center" vertical="center"/>
    </xf>
    <xf numFmtId="0" fontId="4" fillId="0" borderId="24" xfId="0" applyFont="1" applyBorder="1" applyAlignment="1" applyProtection="1">
      <alignment horizontal="center" vertical="center" wrapText="1"/>
      <protection locked="0"/>
    </xf>
    <xf numFmtId="0" fontId="22" fillId="0" borderId="24" xfId="0" applyFont="1" applyBorder="1" applyAlignment="1">
      <alignment horizontal="center" vertical="center"/>
    </xf>
    <xf numFmtId="3" fontId="22" fillId="0" borderId="23" xfId="0" applyNumberFormat="1" applyFont="1" applyBorder="1" applyAlignment="1">
      <alignment vertical="center"/>
    </xf>
    <xf numFmtId="3" fontId="4" fillId="0" borderId="24" xfId="0" applyNumberFormat="1" applyFont="1" applyBorder="1" applyAlignment="1">
      <alignment vertical="center"/>
    </xf>
    <xf numFmtId="0" fontId="11" fillId="7" borderId="17" xfId="0" applyFont="1" applyFill="1" applyBorder="1" applyAlignment="1">
      <alignment horizontal="center" vertical="center"/>
    </xf>
    <xf numFmtId="3" fontId="12" fillId="7" borderId="17" xfId="1" applyNumberFormat="1" applyFont="1" applyFill="1" applyBorder="1" applyAlignment="1">
      <alignment horizontal="right" vertical="center"/>
    </xf>
    <xf numFmtId="0" fontId="4" fillId="0" borderId="17" xfId="5" applyFont="1" applyBorder="1" applyAlignment="1">
      <alignment horizontal="center" vertical="center" wrapText="1"/>
    </xf>
    <xf numFmtId="0" fontId="11" fillId="7" borderId="17" xfId="0" applyFont="1" applyFill="1" applyBorder="1"/>
    <xf numFmtId="0" fontId="139" fillId="3" borderId="17" xfId="0" applyFont="1" applyFill="1" applyBorder="1" applyAlignment="1">
      <alignment vertical="center" wrapText="1"/>
    </xf>
    <xf numFmtId="0" fontId="139" fillId="3" borderId="17" xfId="0" applyFont="1" applyFill="1" applyBorder="1" applyAlignment="1">
      <alignment horizontal="center" vertical="center" wrapText="1"/>
    </xf>
    <xf numFmtId="172" fontId="15" fillId="0" borderId="17" xfId="0" applyNumberFormat="1" applyFont="1" applyBorder="1" applyAlignment="1">
      <alignment vertical="center"/>
    </xf>
    <xf numFmtId="0" fontId="13" fillId="3" borderId="17" xfId="0" applyFont="1" applyFill="1" applyBorder="1" applyAlignment="1">
      <alignment vertical="center" wrapText="1"/>
    </xf>
    <xf numFmtId="0" fontId="22" fillId="0" borderId="17" xfId="0" applyFont="1" applyBorder="1" applyAlignment="1">
      <alignment horizontal="center" vertical="center"/>
    </xf>
    <xf numFmtId="3" fontId="22" fillId="0" borderId="17" xfId="5" applyNumberFormat="1" applyFont="1" applyBorder="1" applyAlignment="1">
      <alignment vertical="center" wrapText="1"/>
    </xf>
    <xf numFmtId="0" fontId="22" fillId="0" borderId="17" xfId="0" applyFont="1" applyBorder="1" applyAlignment="1">
      <alignment vertical="center" wrapText="1"/>
    </xf>
    <xf numFmtId="0" fontId="22" fillId="0" borderId="22" xfId="0" applyFont="1" applyBorder="1" applyAlignment="1">
      <alignment horizontal="center" vertical="center"/>
    </xf>
    <xf numFmtId="0" fontId="4" fillId="0" borderId="22" xfId="0" applyFont="1" applyBorder="1" applyAlignment="1">
      <alignment horizontal="center" vertical="center"/>
    </xf>
    <xf numFmtId="4" fontId="4" fillId="0" borderId="22" xfId="0" applyNumberFormat="1" applyFont="1" applyBorder="1" applyAlignment="1">
      <alignment horizontal="right" vertical="center"/>
    </xf>
    <xf numFmtId="0" fontId="22" fillId="0" borderId="17" xfId="0" applyFont="1" applyBorder="1" applyAlignment="1">
      <alignment vertical="center"/>
    </xf>
    <xf numFmtId="0" fontId="28" fillId="0" borderId="0" xfId="0" applyFont="1"/>
    <xf numFmtId="0" fontId="3" fillId="7" borderId="0" xfId="0" applyFont="1" applyFill="1" applyAlignment="1" applyProtection="1">
      <alignment vertical="center" wrapText="1"/>
      <protection locked="0"/>
    </xf>
    <xf numFmtId="0" fontId="132" fillId="7" borderId="0" xfId="0" applyFont="1" applyFill="1" applyAlignment="1">
      <alignment horizontal="center"/>
    </xf>
    <xf numFmtId="0" fontId="133" fillId="7" borderId="0" xfId="0" applyFont="1" applyFill="1"/>
    <xf numFmtId="0" fontId="133" fillId="7" borderId="17" xfId="0" applyFont="1" applyFill="1" applyBorder="1" applyAlignment="1">
      <alignment vertical="center"/>
    </xf>
    <xf numFmtId="0" fontId="133" fillId="7" borderId="17" xfId="0" applyFont="1" applyFill="1" applyBorder="1" applyAlignment="1">
      <alignment horizontal="center" vertical="center" wrapText="1"/>
    </xf>
    <xf numFmtId="0" fontId="133" fillId="7" borderId="17" xfId="0" applyFont="1" applyFill="1" applyBorder="1" applyAlignment="1">
      <alignment vertical="center" wrapText="1"/>
    </xf>
    <xf numFmtId="0" fontId="133" fillId="7" borderId="0" xfId="0" applyFont="1" applyFill="1" applyAlignment="1">
      <alignment vertical="center"/>
    </xf>
    <xf numFmtId="0" fontId="139" fillId="7" borderId="17" xfId="0" applyFont="1" applyFill="1" applyBorder="1" applyAlignment="1">
      <alignment horizontal="center" vertical="center" wrapText="1"/>
    </xf>
    <xf numFmtId="3" fontId="139" fillId="7" borderId="17" xfId="0" applyNumberFormat="1" applyFont="1" applyFill="1" applyBorder="1" applyAlignment="1">
      <alignment horizontal="right" vertical="center" wrapText="1"/>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7" xfId="223" applyFont="1" applyFill="1" applyBorder="1" applyAlignment="1">
      <alignment horizontal="center" vertical="center" wrapText="1"/>
    </xf>
    <xf numFmtId="0" fontId="132" fillId="7" borderId="0" xfId="0" applyFont="1" applyFill="1" applyAlignment="1">
      <alignment horizontal="center"/>
    </xf>
    <xf numFmtId="0" fontId="0" fillId="7" borderId="17" xfId="0" applyFill="1" applyBorder="1"/>
    <xf numFmtId="0" fontId="116" fillId="7" borderId="17"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7" xfId="0" applyFont="1" applyFill="1" applyBorder="1" applyAlignment="1">
      <alignment horizontal="right" vertical="center"/>
    </xf>
    <xf numFmtId="0" fontId="22" fillId="7" borderId="17" xfId="0" applyFont="1" applyFill="1" applyBorder="1" applyAlignment="1">
      <alignment horizontal="right" vertical="center"/>
    </xf>
    <xf numFmtId="0" fontId="123" fillId="7" borderId="17" xfId="0" applyFont="1" applyFill="1" applyBorder="1" applyAlignment="1">
      <alignment horizontal="center" vertical="center" wrapText="1"/>
    </xf>
    <xf numFmtId="0" fontId="123" fillId="7" borderId="17" xfId="0" applyFont="1" applyFill="1" applyBorder="1" applyAlignment="1">
      <alignment vertical="center" wrapText="1"/>
    </xf>
    <xf numFmtId="4" fontId="129" fillId="7" borderId="17" xfId="0" applyNumberFormat="1" applyFont="1" applyFill="1" applyBorder="1"/>
    <xf numFmtId="199" fontId="125" fillId="7" borderId="17" xfId="0" applyNumberFormat="1" applyFont="1" applyFill="1" applyBorder="1" applyAlignment="1">
      <alignment vertical="center"/>
    </xf>
    <xf numFmtId="3" fontId="125" fillId="7" borderId="17" xfId="0" applyNumberFormat="1" applyFont="1" applyFill="1" applyBorder="1" applyAlignment="1">
      <alignment horizontal="right" vertical="center"/>
    </xf>
    <xf numFmtId="0" fontId="0" fillId="0" borderId="0" xfId="0" applyAlignment="1">
      <alignment vertical="center"/>
    </xf>
    <xf numFmtId="0" fontId="4" fillId="0" borderId="17" xfId="0" applyFont="1" applyBorder="1" applyAlignment="1">
      <alignment horizontal="left" vertical="center" wrapText="1"/>
    </xf>
    <xf numFmtId="3" fontId="4" fillId="0" borderId="17" xfId="0" applyNumberFormat="1" applyFont="1" applyBorder="1" applyAlignment="1">
      <alignment vertical="center"/>
    </xf>
    <xf numFmtId="0" fontId="22" fillId="0" borderId="17" xfId="0" applyFont="1" applyBorder="1" applyAlignment="1">
      <alignment horizontal="center" vertical="center" wrapText="1"/>
    </xf>
    <xf numFmtId="172" fontId="22" fillId="0" borderId="19" xfId="0" applyNumberFormat="1" applyFont="1" applyBorder="1" applyAlignment="1">
      <alignment horizontal="right" vertical="center"/>
    </xf>
    <xf numFmtId="3" fontId="22" fillId="4" borderId="17" xfId="0" applyNumberFormat="1" applyFont="1" applyFill="1" applyBorder="1" applyAlignment="1">
      <alignment horizontal="right" vertical="center"/>
    </xf>
    <xf numFmtId="3" fontId="22" fillId="0" borderId="17" xfId="0" applyNumberFormat="1" applyFont="1" applyBorder="1" applyAlignment="1">
      <alignment vertical="center"/>
    </xf>
    <xf numFmtId="3" fontId="11" fillId="0" borderId="17" xfId="0" applyNumberFormat="1" applyFont="1" applyBorder="1" applyAlignment="1">
      <alignment vertical="center"/>
    </xf>
    <xf numFmtId="3" fontId="22" fillId="0" borderId="17" xfId="0" applyNumberFormat="1" applyFont="1" applyBorder="1" applyAlignment="1">
      <alignment horizontal="right" vertical="center"/>
    </xf>
    <xf numFmtId="3" fontId="11" fillId="0" borderId="17" xfId="0" applyNumberFormat="1" applyFont="1" applyBorder="1" applyAlignment="1">
      <alignment vertical="center" wrapText="1"/>
    </xf>
    <xf numFmtId="198" fontId="11" fillId="0" borderId="17" xfId="0" applyNumberFormat="1" applyFont="1" applyBorder="1" applyAlignment="1">
      <alignment vertical="center"/>
    </xf>
    <xf numFmtId="201" fontId="11" fillId="0" borderId="17" xfId="0" applyNumberFormat="1" applyFont="1" applyBorder="1" applyAlignment="1">
      <alignment vertical="center"/>
    </xf>
    <xf numFmtId="172" fontId="11" fillId="0" borderId="17" xfId="0" applyNumberFormat="1" applyFont="1" applyBorder="1" applyAlignment="1">
      <alignment vertical="center"/>
    </xf>
    <xf numFmtId="199" fontId="22" fillId="0" borderId="19" xfId="0" applyNumberFormat="1" applyFont="1" applyBorder="1" applyAlignment="1">
      <alignment horizontal="right" vertical="center"/>
    </xf>
    <xf numFmtId="0" fontId="5" fillId="7" borderId="17" xfId="0" applyFont="1" applyFill="1" applyBorder="1" applyAlignment="1" applyProtection="1">
      <alignment horizontal="center" vertical="center" wrapText="1"/>
      <protection locked="0"/>
    </xf>
    <xf numFmtId="0" fontId="10" fillId="7" borderId="0" xfId="0" applyFont="1" applyFill="1" applyAlignment="1" applyProtection="1">
      <alignment vertical="center" wrapText="1"/>
      <protection locked="0"/>
    </xf>
    <xf numFmtId="3" fontId="11" fillId="0" borderId="17" xfId="0" quotePrefix="1" applyNumberFormat="1" applyFont="1" applyBorder="1" applyAlignment="1">
      <alignment vertical="center" wrapText="1"/>
    </xf>
    <xf numFmtId="0" fontId="132" fillId="0" borderId="17" xfId="0" applyFont="1" applyBorder="1" applyAlignment="1">
      <alignment horizontal="center" vertical="center" wrapText="1"/>
    </xf>
    <xf numFmtId="0" fontId="132" fillId="0" borderId="20" xfId="0" applyFont="1" applyBorder="1" applyAlignment="1">
      <alignment horizontal="center" vertical="center" wrapText="1"/>
    </xf>
    <xf numFmtId="0" fontId="16" fillId="0" borderId="0" xfId="0" applyFont="1" applyAlignment="1" applyProtection="1">
      <alignment horizontal="right" vertical="center" wrapText="1"/>
      <protection locked="0"/>
    </xf>
    <xf numFmtId="199" fontId="22" fillId="7" borderId="19" xfId="0" applyNumberFormat="1" applyFont="1" applyFill="1" applyBorder="1" applyAlignment="1">
      <alignment horizontal="right" vertical="center"/>
    </xf>
    <xf numFmtId="0" fontId="0" fillId="0" borderId="18" xfId="0" applyBorder="1" applyAlignment="1"/>
    <xf numFmtId="0" fontId="142" fillId="0" borderId="18" xfId="0" applyFont="1" applyBorder="1" applyAlignment="1"/>
    <xf numFmtId="0" fontId="107" fillId="0" borderId="17" xfId="0" applyFont="1" applyBorder="1" applyAlignment="1">
      <alignment horizontal="center" vertical="center" wrapText="1"/>
    </xf>
    <xf numFmtId="0" fontId="107" fillId="0" borderId="17" xfId="0" applyFont="1" applyBorder="1" applyAlignment="1">
      <alignment vertical="center" wrapText="1"/>
    </xf>
    <xf numFmtId="0" fontId="144" fillId="0" borderId="17" xfId="0" applyFont="1" applyFill="1" applyBorder="1" applyAlignment="1">
      <alignment horizontal="center" vertical="center" wrapText="1"/>
    </xf>
    <xf numFmtId="0" fontId="145" fillId="0" borderId="17" xfId="0" applyFont="1" applyFill="1" applyBorder="1" applyAlignment="1">
      <alignment vertical="center" wrapText="1"/>
    </xf>
    <xf numFmtId="0" fontId="145" fillId="0" borderId="17" xfId="0" applyFont="1" applyBorder="1" applyAlignment="1">
      <alignment vertical="center" wrapText="1"/>
    </xf>
    <xf numFmtId="0" fontId="146" fillId="0" borderId="0" xfId="0" applyFont="1" applyAlignment="1" applyProtection="1">
      <alignment vertical="center" wrapText="1"/>
      <protection locked="0"/>
    </xf>
    <xf numFmtId="3" fontId="11" fillId="4" borderId="17" xfId="0" applyNumberFormat="1" applyFont="1" applyFill="1" applyBorder="1" applyAlignment="1">
      <alignment horizontal="right" vertical="center"/>
    </xf>
    <xf numFmtId="3" fontId="147" fillId="0" borderId="17" xfId="0" applyNumberFormat="1" applyFont="1" applyBorder="1" applyAlignment="1">
      <alignment horizontal="right" vertical="center" wrapText="1"/>
    </xf>
    <xf numFmtId="0" fontId="144" fillId="0" borderId="17" xfId="0" applyFont="1" applyFill="1" applyBorder="1" applyAlignment="1">
      <alignment horizontal="left" vertical="center" wrapText="1"/>
    </xf>
    <xf numFmtId="0" fontId="145" fillId="0" borderId="17" xfId="0" applyFont="1" applyBorder="1" applyAlignment="1">
      <alignment horizontal="left" vertical="center" wrapText="1"/>
    </xf>
    <xf numFmtId="0" fontId="132" fillId="0" borderId="17" xfId="0" applyFont="1" applyBorder="1" applyAlignment="1">
      <alignment vertical="center" wrapText="1"/>
    </xf>
    <xf numFmtId="0" fontId="133" fillId="0" borderId="17" xfId="0" applyFont="1" applyBorder="1" applyAlignment="1">
      <alignment horizontal="center" vertical="center" wrapText="1"/>
    </xf>
    <xf numFmtId="0" fontId="142" fillId="0" borderId="18" xfId="0" applyFont="1" applyBorder="1" applyAlignment="1">
      <alignment horizontal="right"/>
    </xf>
    <xf numFmtId="0" fontId="139" fillId="0" borderId="17" xfId="0" applyFont="1" applyBorder="1" applyAlignment="1">
      <alignment horizontal="center" vertical="center" wrapText="1"/>
    </xf>
    <xf numFmtId="0" fontId="5" fillId="0" borderId="0" xfId="0" applyFont="1" applyBorder="1" applyAlignment="1">
      <alignment horizontal="center" vertical="center"/>
    </xf>
    <xf numFmtId="0" fontId="53" fillId="0" borderId="0" xfId="0" applyFont="1" applyBorder="1" applyAlignment="1">
      <alignment horizontal="center" vertical="center"/>
    </xf>
    <xf numFmtId="0" fontId="53" fillId="0" borderId="0" xfId="0" applyFont="1" applyBorder="1" applyAlignment="1">
      <alignment vertical="center"/>
    </xf>
    <xf numFmtId="43" fontId="53" fillId="0" borderId="0" xfId="0" applyNumberFormat="1" applyFont="1" applyBorder="1" applyAlignment="1">
      <alignment vertical="center"/>
    </xf>
    <xf numFmtId="0" fontId="31" fillId="0" borderId="0" xfId="0" applyFont="1" applyBorder="1" applyAlignment="1">
      <alignment horizontal="right" vertical="center"/>
    </xf>
    <xf numFmtId="0" fontId="5" fillId="0" borderId="25"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7" xfId="0" applyFont="1" applyBorder="1" applyAlignment="1">
      <alignment vertical="center"/>
    </xf>
    <xf numFmtId="3" fontId="10" fillId="0" borderId="17" xfId="0" applyNumberFormat="1" applyFont="1" applyBorder="1" applyAlignment="1">
      <alignment vertical="center"/>
    </xf>
    <xf numFmtId="0" fontId="7" fillId="0" borderId="37" xfId="0" applyFont="1" applyBorder="1" applyAlignment="1">
      <alignment horizontal="center" vertical="center"/>
    </xf>
    <xf numFmtId="0" fontId="7" fillId="0" borderId="0" xfId="0" applyFont="1" applyBorder="1" applyAlignment="1">
      <alignment horizontal="center" vertical="center"/>
    </xf>
    <xf numFmtId="0" fontId="17" fillId="0" borderId="0" xfId="0" applyFont="1" applyAlignment="1">
      <alignment vertical="center"/>
    </xf>
    <xf numFmtId="3" fontId="5" fillId="0" borderId="17" xfId="56" applyNumberFormat="1" applyFont="1" applyBorder="1" applyAlignment="1">
      <alignment horizontal="right" vertical="center"/>
    </xf>
    <xf numFmtId="0" fontId="132" fillId="7" borderId="0" xfId="0" applyFont="1" applyFill="1" applyAlignment="1"/>
    <xf numFmtId="3" fontId="22" fillId="0" borderId="23" xfId="0" applyNumberFormat="1" applyFont="1" applyBorder="1" applyAlignment="1" applyProtection="1">
      <alignment vertical="center" wrapText="1"/>
      <protection locked="0"/>
    </xf>
    <xf numFmtId="3" fontId="10" fillId="7" borderId="17" xfId="0" applyNumberFormat="1" applyFont="1" applyFill="1" applyBorder="1" applyAlignment="1" applyProtection="1">
      <alignment horizontal="center" vertical="center" wrapText="1"/>
      <protection locked="0"/>
    </xf>
    <xf numFmtId="37" fontId="10" fillId="7" borderId="17" xfId="0" applyNumberFormat="1" applyFont="1" applyFill="1" applyBorder="1" applyAlignment="1" applyProtection="1">
      <alignment vertical="center" wrapText="1"/>
      <protection locked="0"/>
    </xf>
    <xf numFmtId="166" fontId="10" fillId="7" borderId="17" xfId="0" applyNumberFormat="1" applyFont="1" applyFill="1" applyBorder="1" applyAlignment="1" applyProtection="1">
      <alignment vertical="center" wrapText="1"/>
      <protection locked="0"/>
    </xf>
    <xf numFmtId="200" fontId="10" fillId="7" borderId="17" xfId="0" applyNumberFormat="1" applyFont="1" applyFill="1" applyBorder="1" applyAlignment="1" applyProtection="1">
      <alignment vertical="center" wrapText="1"/>
      <protection locked="0"/>
    </xf>
    <xf numFmtId="0" fontId="22" fillId="0" borderId="17" xfId="0" applyFont="1" applyBorder="1" applyAlignment="1">
      <alignment horizontal="left" vertical="center" wrapText="1"/>
    </xf>
    <xf numFmtId="3" fontId="13" fillId="0" borderId="17" xfId="0" applyNumberFormat="1" applyFont="1" applyBorder="1" applyAlignment="1">
      <alignment horizontal="righ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7" fillId="0" borderId="18" xfId="0" applyFont="1" applyBorder="1" applyAlignment="1">
      <alignment horizontal="right" vertical="center"/>
    </xf>
    <xf numFmtId="0" fontId="10" fillId="0" borderId="17" xfId="0" applyFont="1" applyBorder="1" applyAlignment="1">
      <alignment horizontal="center" vertical="center" wrapText="1"/>
    </xf>
    <xf numFmtId="4" fontId="10" fillId="0" borderId="17" xfId="0" applyNumberFormat="1" applyFont="1" applyBorder="1" applyAlignment="1">
      <alignment horizontal="right" vertical="center" wrapText="1"/>
    </xf>
    <xf numFmtId="4" fontId="5" fillId="0" borderId="17" xfId="0" applyNumberFormat="1" applyFont="1" applyBorder="1" applyAlignment="1">
      <alignment horizontal="right" vertical="center" wrapText="1"/>
    </xf>
    <xf numFmtId="201" fontId="10" fillId="0" borderId="17" xfId="0" applyNumberFormat="1" applyFont="1" applyBorder="1" applyAlignment="1">
      <alignment horizontal="right" vertical="center" wrapText="1"/>
    </xf>
    <xf numFmtId="3" fontId="22" fillId="0" borderId="23" xfId="0" applyNumberFormat="1" applyFont="1" applyBorder="1" applyAlignment="1">
      <alignment horizontal="left" vertical="center" wrapText="1"/>
    </xf>
    <xf numFmtId="0" fontId="149" fillId="0" borderId="0" xfId="79" applyFont="1" applyAlignment="1">
      <alignment horizontal="center" vertical="center"/>
    </xf>
    <xf numFmtId="180" fontId="152" fillId="0" borderId="17" xfId="3" applyNumberFormat="1" applyFont="1" applyBorder="1" applyAlignment="1">
      <alignment horizontal="center" vertical="center" wrapText="1"/>
    </xf>
    <xf numFmtId="180" fontId="152" fillId="0" borderId="27" xfId="3" applyNumberFormat="1" applyFont="1" applyBorder="1" applyAlignment="1">
      <alignment horizontal="center" vertical="center" wrapText="1"/>
    </xf>
    <xf numFmtId="0" fontId="153" fillId="7" borderId="38" xfId="79" applyFont="1" applyFill="1" applyBorder="1" applyAlignment="1">
      <alignment horizontal="center" vertical="center" wrapText="1"/>
    </xf>
    <xf numFmtId="0" fontId="154" fillId="7" borderId="39" xfId="79" applyFont="1" applyFill="1" applyBorder="1" applyAlignment="1">
      <alignment vertical="center"/>
    </xf>
    <xf numFmtId="180" fontId="154" fillId="7" borderId="39" xfId="3" applyNumberFormat="1" applyFont="1" applyFill="1" applyBorder="1" applyAlignment="1">
      <alignment vertical="center" wrapText="1"/>
    </xf>
    <xf numFmtId="0" fontId="153" fillId="7" borderId="40" xfId="79" applyFont="1" applyFill="1" applyBorder="1" applyAlignment="1">
      <alignment horizontal="center" vertical="center" wrapText="1"/>
    </xf>
    <xf numFmtId="0" fontId="154" fillId="7" borderId="41" xfId="79" applyFont="1" applyFill="1" applyBorder="1" applyAlignment="1">
      <alignment vertical="center"/>
    </xf>
    <xf numFmtId="3" fontId="154" fillId="7" borderId="17" xfId="3" applyNumberFormat="1" applyFont="1" applyFill="1" applyBorder="1" applyAlignment="1">
      <alignment vertical="center" wrapText="1"/>
    </xf>
    <xf numFmtId="0" fontId="153" fillId="0" borderId="40" xfId="79" applyFont="1" applyBorder="1" applyAlignment="1">
      <alignment horizontal="center" vertical="center" wrapText="1"/>
    </xf>
    <xf numFmtId="0" fontId="154" fillId="0" borderId="41" xfId="79" applyFont="1" applyBorder="1" applyAlignment="1">
      <alignment vertical="center" wrapText="1"/>
    </xf>
    <xf numFmtId="202" fontId="152" fillId="0" borderId="17" xfId="2" applyNumberFormat="1" applyFont="1" applyBorder="1" applyAlignment="1">
      <alignment vertical="center" wrapText="1"/>
    </xf>
    <xf numFmtId="202" fontId="152" fillId="0" borderId="40" xfId="2" applyNumberFormat="1" applyFont="1" applyBorder="1" applyAlignment="1">
      <alignment vertical="center" wrapText="1"/>
    </xf>
    <xf numFmtId="0" fontId="150" fillId="0" borderId="17" xfId="79" applyFont="1" applyBorder="1" applyAlignment="1">
      <alignment horizontal="center" vertical="center"/>
    </xf>
    <xf numFmtId="0" fontId="151" fillId="0" borderId="20" xfId="79" applyFont="1" applyBorder="1" applyAlignment="1">
      <alignment horizontal="center" vertical="center"/>
    </xf>
    <xf numFmtId="0" fontId="22" fillId="7" borderId="17" xfId="0" applyFont="1" applyFill="1" applyBorder="1" applyAlignment="1">
      <alignment vertical="center" wrapText="1"/>
    </xf>
    <xf numFmtId="0" fontId="107" fillId="0" borderId="17" xfId="0" applyFont="1" applyBorder="1" applyAlignment="1">
      <alignment horizontal="left" vertical="center" wrapText="1"/>
    </xf>
    <xf numFmtId="169" fontId="10" fillId="0" borderId="17" xfId="0" applyNumberFormat="1" applyFont="1" applyBorder="1" applyAlignment="1" applyProtection="1">
      <alignment horizontal="center" vertical="center" wrapText="1"/>
      <protection locked="0"/>
    </xf>
    <xf numFmtId="0" fontId="10" fillId="7" borderId="17" xfId="224" applyFont="1" applyFill="1" applyBorder="1" applyAlignment="1">
      <alignment horizontal="center" vertical="center"/>
    </xf>
    <xf numFmtId="0" fontId="10" fillId="7" borderId="17" xfId="224" applyFont="1" applyFill="1" applyBorder="1" applyAlignment="1">
      <alignment horizontal="left" vertical="center" wrapText="1"/>
    </xf>
    <xf numFmtId="0" fontId="10" fillId="7" borderId="17" xfId="0" applyFont="1" applyFill="1" applyBorder="1" applyAlignment="1">
      <alignment horizontal="center" vertical="center"/>
    </xf>
    <xf numFmtId="0" fontId="10" fillId="7" borderId="17" xfId="224" applyFont="1" applyFill="1" applyBorder="1" applyAlignment="1">
      <alignment horizontal="center" vertical="center" wrapText="1"/>
    </xf>
    <xf numFmtId="3" fontId="10" fillId="7" borderId="17" xfId="0" applyNumberFormat="1" applyFont="1" applyFill="1" applyBorder="1" applyAlignment="1">
      <alignment vertical="center"/>
    </xf>
    <xf numFmtId="9" fontId="10" fillId="7" borderId="17" xfId="182" applyFont="1" applyFill="1" applyBorder="1" applyAlignment="1">
      <alignment horizontal="center" vertical="center"/>
    </xf>
    <xf numFmtId="3" fontId="10" fillId="7" borderId="17" xfId="56" applyNumberFormat="1" applyFont="1" applyFill="1" applyBorder="1" applyAlignment="1">
      <alignment vertical="center" wrapText="1"/>
    </xf>
    <xf numFmtId="0" fontId="5" fillId="7" borderId="17" xfId="224" applyFont="1" applyFill="1" applyBorder="1" applyAlignment="1">
      <alignment horizontal="center" vertical="center"/>
    </xf>
    <xf numFmtId="0" fontId="5" fillId="7" borderId="17" xfId="224" applyFont="1" applyFill="1" applyBorder="1" applyAlignment="1">
      <alignment horizontal="center" vertical="center" wrapText="1"/>
    </xf>
    <xf numFmtId="0" fontId="5" fillId="7" borderId="17" xfId="224" applyFont="1" applyFill="1" applyBorder="1" applyAlignment="1">
      <alignment horizontal="left" vertical="center" wrapText="1"/>
    </xf>
    <xf numFmtId="3" fontId="10" fillId="7" borderId="17" xfId="182" applyNumberFormat="1" applyFont="1" applyFill="1" applyBorder="1" applyAlignment="1">
      <alignment horizontal="right" vertical="center" wrapText="1"/>
    </xf>
    <xf numFmtId="3" fontId="10" fillId="7" borderId="17" xfId="56" applyNumberFormat="1" applyFont="1" applyFill="1" applyBorder="1" applyAlignment="1">
      <alignment horizontal="right" vertical="center" wrapText="1"/>
    </xf>
    <xf numFmtId="0" fontId="5" fillId="7" borderId="20" xfId="224" applyFont="1" applyFill="1" applyBorder="1" applyAlignment="1">
      <alignment horizontal="center" vertical="center" wrapText="1"/>
    </xf>
    <xf numFmtId="0" fontId="27" fillId="7" borderId="17" xfId="0" applyFont="1" applyFill="1" applyBorder="1" applyAlignment="1">
      <alignment horizontal="center" vertical="center" wrapText="1"/>
    </xf>
    <xf numFmtId="0" fontId="28" fillId="7" borderId="0" xfId="0" applyFont="1" applyFill="1"/>
    <xf numFmtId="0" fontId="27" fillId="7" borderId="17" xfId="0" applyFont="1" applyFill="1" applyBorder="1" applyAlignment="1">
      <alignment horizontal="left" vertical="center" wrapText="1"/>
    </xf>
    <xf numFmtId="0" fontId="28" fillId="7" borderId="17" xfId="0" applyFont="1" applyFill="1" applyBorder="1" applyAlignment="1">
      <alignment horizontal="center" vertical="center" wrapText="1"/>
    </xf>
    <xf numFmtId="0" fontId="28" fillId="7" borderId="17" xfId="0" applyFont="1" applyFill="1" applyBorder="1" applyAlignment="1">
      <alignment horizontal="left" vertical="center" wrapText="1"/>
    </xf>
    <xf numFmtId="0" fontId="28" fillId="7" borderId="17" xfId="0" applyFont="1" applyFill="1" applyBorder="1" applyAlignment="1">
      <alignment vertical="center" wrapText="1"/>
    </xf>
    <xf numFmtId="0" fontId="28" fillId="7" borderId="17" xfId="0" applyFont="1" applyFill="1" applyBorder="1" applyAlignment="1">
      <alignment vertical="center"/>
    </xf>
    <xf numFmtId="3" fontId="28" fillId="7" borderId="17" xfId="0" applyNumberFormat="1" applyFont="1" applyFill="1" applyBorder="1" applyAlignment="1">
      <alignment vertical="center"/>
    </xf>
    <xf numFmtId="3" fontId="32" fillId="7" borderId="17" xfId="0" applyNumberFormat="1" applyFont="1" applyFill="1" applyBorder="1" applyAlignment="1">
      <alignment horizontal="right" vertical="center" wrapText="1"/>
    </xf>
    <xf numFmtId="3" fontId="10" fillId="7" borderId="17" xfId="0" applyNumberFormat="1" applyFont="1" applyFill="1" applyBorder="1" applyAlignment="1">
      <alignment horizontal="right" vertical="center"/>
    </xf>
    <xf numFmtId="202" fontId="10" fillId="0" borderId="17" xfId="182" applyNumberFormat="1" applyFont="1" applyFill="1" applyBorder="1" applyAlignment="1">
      <alignment horizontal="center" vertical="center" wrapText="1"/>
    </xf>
    <xf numFmtId="3" fontId="10" fillId="0" borderId="17" xfId="56" applyNumberFormat="1" applyFont="1" applyFill="1" applyBorder="1" applyAlignment="1">
      <alignment horizontal="center" vertical="center" wrapText="1"/>
    </xf>
    <xf numFmtId="0" fontId="10" fillId="0" borderId="17" xfId="0" applyFont="1" applyFill="1" applyBorder="1" applyAlignment="1">
      <alignment horizontal="center" vertical="center"/>
    </xf>
    <xf numFmtId="0" fontId="28" fillId="7" borderId="22" xfId="0" applyFont="1" applyFill="1" applyBorder="1" applyAlignment="1">
      <alignment vertical="center"/>
    </xf>
    <xf numFmtId="3" fontId="32" fillId="7" borderId="22" xfId="0" applyNumberFormat="1" applyFont="1" applyFill="1" applyBorder="1" applyAlignment="1">
      <alignment vertical="center"/>
    </xf>
    <xf numFmtId="3" fontId="32" fillId="7" borderId="22" xfId="0" applyNumberFormat="1" applyFont="1" applyFill="1" applyBorder="1" applyAlignment="1">
      <alignment horizontal="right" vertical="center" wrapText="1"/>
    </xf>
    <xf numFmtId="0" fontId="28" fillId="7" borderId="22" xfId="0" applyFont="1" applyFill="1" applyBorder="1" applyAlignment="1">
      <alignment vertical="center" wrapText="1"/>
    </xf>
    <xf numFmtId="0" fontId="28" fillId="7" borderId="17" xfId="0" quotePrefix="1" applyFont="1" applyFill="1" applyBorder="1" applyAlignment="1">
      <alignment horizontal="center" vertical="center" wrapText="1"/>
    </xf>
    <xf numFmtId="0" fontId="28" fillId="7" borderId="0" xfId="0" applyFont="1" applyFill="1" applyBorder="1"/>
    <xf numFmtId="0" fontId="13" fillId="3" borderId="17" xfId="0" applyFont="1" applyFill="1" applyBorder="1" applyAlignment="1">
      <alignment horizontal="center" vertical="center" wrapText="1"/>
    </xf>
    <xf numFmtId="0" fontId="156" fillId="3" borderId="17" xfId="0" applyFont="1" applyFill="1" applyBorder="1" applyAlignment="1">
      <alignment vertical="center" wrapText="1"/>
    </xf>
    <xf numFmtId="0" fontId="13" fillId="3" borderId="17" xfId="0" applyFont="1" applyFill="1" applyBorder="1" applyAlignment="1">
      <alignment horizontal="center" vertical="center"/>
    </xf>
    <xf numFmtId="3" fontId="13" fillId="3" borderId="17" xfId="0" applyNumberFormat="1" applyFont="1" applyFill="1" applyBorder="1" applyAlignment="1">
      <alignment horizontal="right" vertical="center" wrapText="1"/>
    </xf>
    <xf numFmtId="0" fontId="139" fillId="0" borderId="17" xfId="0" applyFont="1" applyBorder="1" applyAlignment="1">
      <alignment vertical="center" wrapText="1"/>
    </xf>
    <xf numFmtId="3" fontId="139" fillId="3" borderId="17" xfId="0" applyNumberFormat="1" applyFont="1" applyFill="1" applyBorder="1" applyAlignment="1">
      <alignment horizontal="right" vertical="center" wrapText="1"/>
    </xf>
    <xf numFmtId="0" fontId="157" fillId="3" borderId="17" xfId="0" applyFont="1" applyFill="1" applyBorder="1" applyAlignment="1">
      <alignment horizontal="center" vertical="center" wrapText="1"/>
    </xf>
    <xf numFmtId="0" fontId="139" fillId="7" borderId="17" xfId="0" applyFont="1" applyFill="1" applyBorder="1" applyAlignment="1">
      <alignment vertical="center" wrapText="1"/>
    </xf>
    <xf numFmtId="0" fontId="110" fillId="7" borderId="0" xfId="0" applyFont="1" applyFill="1"/>
    <xf numFmtId="0" fontId="157" fillId="3" borderId="17" xfId="0" applyFont="1" applyFill="1" applyBorder="1" applyAlignment="1">
      <alignment horizontal="center" vertical="center"/>
    </xf>
    <xf numFmtId="0" fontId="158" fillId="3" borderId="17" xfId="0" applyFont="1" applyFill="1" applyBorder="1" applyAlignment="1">
      <alignment vertical="center" wrapText="1"/>
    </xf>
    <xf numFmtId="0" fontId="157" fillId="3" borderId="17" xfId="0" quotePrefix="1" applyFont="1" applyFill="1" applyBorder="1" applyAlignment="1">
      <alignment horizontal="center" vertical="center" wrapText="1"/>
    </xf>
    <xf numFmtId="0" fontId="159" fillId="0" borderId="0" xfId="0" applyFont="1"/>
    <xf numFmtId="0" fontId="28" fillId="2" borderId="17" xfId="0" applyFont="1" applyFill="1" applyBorder="1" applyAlignment="1">
      <alignment vertical="center" wrapText="1"/>
    </xf>
    <xf numFmtId="0" fontId="28" fillId="2" borderId="20" xfId="0" applyFont="1" applyFill="1" applyBorder="1" applyAlignment="1">
      <alignment vertical="center" wrapText="1"/>
    </xf>
    <xf numFmtId="0" fontId="28" fillId="2" borderId="22"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16" fillId="0" borderId="0" xfId="0" applyFont="1" applyFill="1" applyBorder="1" applyAlignment="1">
      <alignment horizontal="right"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7" xfId="0" applyFont="1" applyFill="1" applyBorder="1" applyAlignment="1">
      <alignment horizontal="center" vertical="center" wrapText="1"/>
    </xf>
    <xf numFmtId="0" fontId="10" fillId="0" borderId="17" xfId="0" applyFont="1" applyFill="1" applyBorder="1" applyAlignment="1">
      <alignment vertical="center"/>
    </xf>
    <xf numFmtId="3" fontId="10" fillId="0" borderId="17" xfId="0" applyNumberFormat="1" applyFont="1" applyFill="1" applyBorder="1" applyAlignment="1">
      <alignment horizontal="right" vertical="center"/>
    </xf>
    <xf numFmtId="0" fontId="5" fillId="0" borderId="17" xfId="0" applyFont="1" applyFill="1" applyBorder="1" applyAlignment="1">
      <alignment vertical="center"/>
    </xf>
    <xf numFmtId="3" fontId="10" fillId="0" borderId="17" xfId="0" applyNumberFormat="1" applyFont="1" applyFill="1" applyBorder="1" applyAlignment="1">
      <alignment vertical="center"/>
    </xf>
    <xf numFmtId="180" fontId="5" fillId="0" borderId="17" xfId="0" applyNumberFormat="1" applyFont="1" applyFill="1" applyBorder="1" applyAlignment="1">
      <alignment vertical="center"/>
    </xf>
    <xf numFmtId="0" fontId="10" fillId="0" borderId="17" xfId="0" quotePrefix="1" applyFont="1" applyFill="1" applyBorder="1" applyAlignment="1">
      <alignment vertical="center" wrapText="1"/>
    </xf>
    <xf numFmtId="0" fontId="10" fillId="7" borderId="17" xfId="0" applyFont="1" applyFill="1" applyBorder="1" applyAlignment="1">
      <alignment vertical="center"/>
    </xf>
    <xf numFmtId="180" fontId="10" fillId="7" borderId="17" xfId="1" applyNumberFormat="1" applyFont="1" applyFill="1" applyBorder="1" applyAlignment="1">
      <alignment vertical="center"/>
    </xf>
    <xf numFmtId="0" fontId="22" fillId="0" borderId="17" xfId="0" quotePrefix="1" applyFont="1" applyBorder="1" applyAlignment="1">
      <alignment vertical="center"/>
    </xf>
    <xf numFmtId="0" fontId="22" fillId="3" borderId="17" xfId="0" applyFont="1" applyFill="1" applyBorder="1" applyAlignment="1">
      <alignment horizontal="center" vertical="center" wrapText="1"/>
    </xf>
    <xf numFmtId="3" fontId="22" fillId="3" borderId="17" xfId="0" applyNumberFormat="1" applyFont="1" applyFill="1" applyBorder="1" applyAlignment="1">
      <alignment horizontal="right" vertical="center" wrapText="1"/>
    </xf>
    <xf numFmtId="3" fontId="22" fillId="0" borderId="17" xfId="1" applyNumberFormat="1" applyFont="1" applyBorder="1" applyAlignment="1">
      <alignment horizontal="right" vertical="center" wrapText="1"/>
    </xf>
    <xf numFmtId="0" fontId="161" fillId="0" borderId="0" xfId="0" applyFont="1"/>
    <xf numFmtId="0" fontId="27" fillId="7" borderId="17" xfId="0" applyFont="1" applyFill="1" applyBorder="1" applyAlignment="1">
      <alignment horizontal="center" vertical="center" wrapText="1"/>
    </xf>
    <xf numFmtId="3" fontId="139" fillId="7" borderId="17" xfId="1" applyNumberFormat="1" applyFont="1" applyFill="1" applyBorder="1" applyAlignment="1">
      <alignment horizontal="right" vertical="center" wrapText="1"/>
    </xf>
    <xf numFmtId="0" fontId="132" fillId="7" borderId="17" xfId="0" applyFont="1" applyFill="1" applyBorder="1" applyAlignment="1">
      <alignment horizontal="center" vertical="center" wrapText="1"/>
    </xf>
    <xf numFmtId="0" fontId="132" fillId="7" borderId="17" xfId="0" applyFont="1" applyFill="1" applyBorder="1" applyAlignment="1">
      <alignment vertical="center" wrapText="1"/>
    </xf>
    <xf numFmtId="0" fontId="156" fillId="7" borderId="17" xfId="0" applyFont="1" applyFill="1" applyBorder="1" applyAlignment="1">
      <alignment vertical="center" wrapText="1"/>
    </xf>
    <xf numFmtId="0" fontId="13" fillId="7" borderId="17" xfId="0" applyFont="1" applyFill="1" applyBorder="1" applyAlignment="1">
      <alignment horizontal="center" vertical="center" wrapText="1"/>
    </xf>
    <xf numFmtId="3" fontId="13" fillId="7" borderId="17" xfId="0" applyNumberFormat="1" applyFont="1" applyFill="1" applyBorder="1" applyAlignment="1">
      <alignment horizontal="right" vertical="center" wrapText="1"/>
    </xf>
    <xf numFmtId="0" fontId="10" fillId="7" borderId="17" xfId="224" quotePrefix="1" applyFont="1" applyFill="1" applyBorder="1" applyAlignment="1">
      <alignment vertical="center" wrapText="1"/>
    </xf>
    <xf numFmtId="0" fontId="22" fillId="7" borderId="17" xfId="0" applyFont="1" applyFill="1" applyBorder="1" applyAlignment="1">
      <alignment horizontal="center" vertical="center" wrapText="1"/>
    </xf>
    <xf numFmtId="0" fontId="22" fillId="7" borderId="17" xfId="0" applyFont="1" applyFill="1" applyBorder="1" applyAlignment="1">
      <alignment horizontal="center" vertical="center"/>
    </xf>
    <xf numFmtId="3" fontId="22" fillId="7" borderId="17" xfId="0" applyNumberFormat="1" applyFont="1" applyFill="1" applyBorder="1" applyAlignment="1">
      <alignment horizontal="right" vertical="center" wrapText="1"/>
    </xf>
    <xf numFmtId="3" fontId="22" fillId="7" borderId="17" xfId="1" applyNumberFormat="1" applyFont="1" applyFill="1" applyBorder="1" applyAlignment="1">
      <alignment horizontal="right" vertical="center" wrapText="1"/>
    </xf>
    <xf numFmtId="0" fontId="161" fillId="7" borderId="0" xfId="0" applyFont="1" applyFill="1"/>
    <xf numFmtId="0" fontId="22" fillId="7" borderId="20" xfId="0" applyFont="1" applyFill="1" applyBorder="1" applyAlignment="1">
      <alignment vertical="center" wrapText="1"/>
    </xf>
    <xf numFmtId="0" fontId="13" fillId="7" borderId="17" xfId="0" applyFont="1" applyFill="1" applyBorder="1" applyAlignment="1">
      <alignment vertical="center" wrapText="1"/>
    </xf>
    <xf numFmtId="0" fontId="157" fillId="7" borderId="17" xfId="0" quotePrefix="1" applyFont="1" applyFill="1" applyBorder="1" applyAlignment="1">
      <alignment horizontal="center" vertical="center" wrapText="1"/>
    </xf>
    <xf numFmtId="0" fontId="110" fillId="7" borderId="17" xfId="0" applyFont="1" applyFill="1" applyBorder="1"/>
    <xf numFmtId="0" fontId="13" fillId="7" borderId="17" xfId="0" applyFont="1" applyFill="1" applyBorder="1" applyAlignment="1">
      <alignment horizontal="center" vertical="center"/>
    </xf>
    <xf numFmtId="3" fontId="132" fillId="7" borderId="17" xfId="0" applyNumberFormat="1" applyFont="1" applyFill="1" applyBorder="1" applyAlignment="1">
      <alignment horizontal="right" vertical="center" wrapText="1"/>
    </xf>
    <xf numFmtId="0" fontId="139" fillId="7" borderId="17" xfId="0" applyFont="1" applyFill="1" applyBorder="1" applyAlignment="1">
      <alignment horizontal="center" vertical="center"/>
    </xf>
    <xf numFmtId="0" fontId="139" fillId="7" borderId="17" xfId="0" applyFont="1" applyFill="1" applyBorder="1" applyAlignment="1">
      <alignment vertical="center"/>
    </xf>
    <xf numFmtId="3" fontId="110" fillId="7" borderId="0" xfId="0" applyNumberFormat="1" applyFont="1" applyFill="1"/>
    <xf numFmtId="0" fontId="27" fillId="0" borderId="17" xfId="0" applyFont="1" applyFill="1" applyBorder="1" applyAlignment="1">
      <alignment horizontal="left" vertical="center" wrapText="1"/>
    </xf>
    <xf numFmtId="9" fontId="5" fillId="0" borderId="17" xfId="182" applyFont="1" applyFill="1" applyBorder="1" applyAlignment="1">
      <alignment horizontal="center" vertical="center" wrapText="1"/>
    </xf>
    <xf numFmtId="3" fontId="5" fillId="7" borderId="17" xfId="182" applyNumberFormat="1" applyFont="1" applyFill="1" applyBorder="1" applyAlignment="1">
      <alignment horizontal="right" vertical="center" wrapText="1"/>
    </xf>
    <xf numFmtId="0" fontId="27" fillId="7" borderId="17" xfId="0" applyFont="1" applyFill="1" applyBorder="1" applyAlignment="1">
      <alignment vertical="center" wrapText="1"/>
    </xf>
    <xf numFmtId="9" fontId="5" fillId="7" borderId="17" xfId="182" applyFont="1" applyFill="1" applyBorder="1" applyAlignment="1">
      <alignment horizontal="center" vertical="center" wrapText="1"/>
    </xf>
    <xf numFmtId="0" fontId="27" fillId="7" borderId="17" xfId="0" applyFont="1" applyFill="1" applyBorder="1" applyAlignment="1">
      <alignment vertical="center"/>
    </xf>
    <xf numFmtId="3" fontId="148" fillId="7" borderId="17" xfId="0" applyNumberFormat="1" applyFont="1" applyFill="1" applyBorder="1" applyAlignment="1">
      <alignment vertical="center"/>
    </xf>
    <xf numFmtId="0" fontId="27" fillId="7" borderId="0" xfId="0" applyFont="1" applyFill="1"/>
    <xf numFmtId="0" fontId="122" fillId="7" borderId="17" xfId="0" applyFont="1" applyFill="1" applyBorder="1" applyAlignment="1">
      <alignment horizontal="right" vertical="center" wrapText="1"/>
    </xf>
    <xf numFmtId="0" fontId="27" fillId="7" borderId="17"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27" fillId="7" borderId="20" xfId="0" applyFont="1" applyFill="1" applyBorder="1" applyAlignment="1">
      <alignment horizontal="center" vertical="center" wrapText="1"/>
    </xf>
    <xf numFmtId="3" fontId="28" fillId="7" borderId="17" xfId="0" applyNumberFormat="1" applyFont="1" applyFill="1" applyBorder="1" applyAlignment="1">
      <alignment horizontal="right" vertical="center" wrapText="1"/>
    </xf>
    <xf numFmtId="173" fontId="28" fillId="7" borderId="17" xfId="1" applyNumberFormat="1" applyFont="1" applyFill="1" applyBorder="1" applyAlignment="1" applyProtection="1">
      <alignment horizontal="center" vertical="center" wrapText="1"/>
    </xf>
    <xf numFmtId="203" fontId="122" fillId="3" borderId="17" xfId="0" applyNumberFormat="1" applyFont="1" applyFill="1" applyBorder="1" applyAlignment="1">
      <alignment horizontal="right" vertical="center" wrapText="1"/>
    </xf>
    <xf numFmtId="203" fontId="122" fillId="7" borderId="17" xfId="0" applyNumberFormat="1" applyFont="1" applyFill="1" applyBorder="1" applyAlignment="1">
      <alignment horizontal="right" vertical="center" wrapText="1"/>
    </xf>
    <xf numFmtId="0" fontId="4" fillId="0" borderId="20" xfId="0" applyFont="1" applyBorder="1" applyAlignment="1" applyProtection="1">
      <alignment horizontal="center" vertical="center" wrapText="1"/>
      <protection locked="0"/>
    </xf>
    <xf numFmtId="0" fontId="16" fillId="0" borderId="17" xfId="0" quotePrefix="1"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5" fillId="0" borderId="20" xfId="0" applyFont="1" applyBorder="1" applyAlignment="1" applyProtection="1">
      <alignment horizontal="center" vertical="center" wrapText="1"/>
      <protection locked="0"/>
    </xf>
    <xf numFmtId="204" fontId="11" fillId="0" borderId="17" xfId="0" applyNumberFormat="1" applyFont="1" applyBorder="1" applyAlignment="1">
      <alignment vertical="center"/>
    </xf>
    <xf numFmtId="201" fontId="22" fillId="0" borderId="17" xfId="0" applyNumberFormat="1" applyFont="1" applyBorder="1" applyAlignment="1">
      <alignment horizontal="right" vertical="center"/>
    </xf>
    <xf numFmtId="205" fontId="139" fillId="3" borderId="17" xfId="0" applyNumberFormat="1" applyFont="1" applyFill="1" applyBorder="1" applyAlignment="1">
      <alignment horizontal="right" vertical="center" wrapText="1"/>
    </xf>
    <xf numFmtId="0" fontId="28" fillId="7" borderId="20" xfId="0" applyFont="1" applyFill="1" applyBorder="1" applyAlignment="1">
      <alignment vertical="center"/>
    </xf>
    <xf numFmtId="3" fontId="28" fillId="7" borderId="20" xfId="0" applyNumberFormat="1" applyFont="1" applyFill="1" applyBorder="1" applyAlignment="1">
      <alignment vertical="center"/>
    </xf>
    <xf numFmtId="0" fontId="28" fillId="7" borderId="20" xfId="0" applyFont="1" applyFill="1" applyBorder="1" applyAlignment="1">
      <alignment vertical="center" wrapText="1"/>
    </xf>
    <xf numFmtId="3" fontId="28" fillId="7" borderId="22" xfId="0" applyNumberFormat="1" applyFont="1" applyFill="1" applyBorder="1" applyAlignment="1">
      <alignment vertical="center"/>
    </xf>
    <xf numFmtId="0" fontId="28" fillId="7" borderId="20" xfId="0" quotePrefix="1" applyFont="1" applyFill="1" applyBorder="1" applyAlignment="1">
      <alignment horizontal="center" vertical="center" wrapText="1"/>
    </xf>
    <xf numFmtId="3" fontId="132" fillId="7" borderId="17" xfId="0" applyNumberFormat="1" applyFont="1" applyFill="1" applyBorder="1"/>
    <xf numFmtId="0" fontId="27" fillId="2" borderId="20" xfId="0" applyFont="1" applyFill="1" applyBorder="1" applyAlignment="1">
      <alignment horizontal="center" vertical="center" wrapText="1"/>
    </xf>
    <xf numFmtId="0" fontId="27" fillId="2" borderId="20" xfId="0" applyFont="1" applyFill="1" applyBorder="1" applyAlignment="1">
      <alignment vertical="center"/>
    </xf>
    <xf numFmtId="3" fontId="27" fillId="2" borderId="20" xfId="0" applyNumberFormat="1" applyFont="1" applyFill="1" applyBorder="1" applyAlignment="1">
      <alignment vertical="center"/>
    </xf>
    <xf numFmtId="0" fontId="27" fillId="2" borderId="0" xfId="0" applyFont="1" applyFill="1"/>
    <xf numFmtId="0" fontId="27" fillId="2" borderId="22" xfId="0" applyFont="1" applyFill="1" applyBorder="1" applyAlignment="1">
      <alignment horizontal="center" vertical="center" wrapText="1"/>
    </xf>
    <xf numFmtId="0" fontId="27" fillId="2" borderId="22" xfId="0" applyFont="1" applyFill="1" applyBorder="1" applyAlignment="1">
      <alignment vertical="center"/>
    </xf>
    <xf numFmtId="3" fontId="148" fillId="2" borderId="22" xfId="0" applyNumberFormat="1" applyFont="1" applyFill="1" applyBorder="1" applyAlignment="1">
      <alignment vertical="center"/>
    </xf>
    <xf numFmtId="3" fontId="27" fillId="2" borderId="22" xfId="0" applyNumberFormat="1" applyFont="1" applyFill="1" applyBorder="1" applyAlignment="1">
      <alignment vertical="center"/>
    </xf>
    <xf numFmtId="3" fontId="148" fillId="7" borderId="22" xfId="0" applyNumberFormat="1" applyFont="1" applyFill="1" applyBorder="1" applyAlignment="1">
      <alignment vertical="center"/>
    </xf>
    <xf numFmtId="3" fontId="27" fillId="7" borderId="17" xfId="0" applyNumberFormat="1" applyFont="1" applyFill="1" applyBorder="1" applyAlignment="1">
      <alignment vertical="center"/>
    </xf>
    <xf numFmtId="0" fontId="27" fillId="2" borderId="17" xfId="0" applyFont="1" applyFill="1" applyBorder="1" applyAlignment="1">
      <alignment horizontal="center" vertical="center" wrapText="1"/>
    </xf>
    <xf numFmtId="0" fontId="27" fillId="2" borderId="17" xfId="0" applyFont="1" applyFill="1" applyBorder="1" applyAlignment="1">
      <alignment vertical="center"/>
    </xf>
    <xf numFmtId="3" fontId="27" fillId="2" borderId="17" xfId="0" applyNumberFormat="1" applyFont="1" applyFill="1" applyBorder="1" applyAlignment="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1" fillId="0" borderId="0" xfId="0" applyFont="1" applyBorder="1" applyAlignment="1">
      <alignment horizontal="right" vertical="center"/>
    </xf>
    <xf numFmtId="3" fontId="12" fillId="0" borderId="0" xfId="0" applyNumberFormat="1" applyFont="1" applyBorder="1" applyAlignment="1">
      <alignment vertical="center"/>
    </xf>
    <xf numFmtId="0" fontId="164" fillId="7" borderId="0" xfId="0" applyFont="1" applyFill="1"/>
    <xf numFmtId="0" fontId="5" fillId="7" borderId="20" xfId="0" applyFont="1" applyFill="1" applyBorder="1" applyAlignment="1">
      <alignment horizontal="center" vertical="center" wrapText="1"/>
    </xf>
    <xf numFmtId="3" fontId="22" fillId="7" borderId="17" xfId="0" applyNumberFormat="1" applyFont="1" applyFill="1" applyBorder="1" applyAlignment="1">
      <alignment horizontal="right" vertical="center"/>
    </xf>
    <xf numFmtId="3" fontId="0" fillId="7" borderId="0" xfId="0" applyNumberFormat="1" applyFill="1"/>
    <xf numFmtId="0" fontId="10" fillId="0" borderId="17" xfId="0" applyFont="1" applyBorder="1" applyAlignment="1" applyProtection="1">
      <alignment horizontal="left" vertical="center" wrapText="1"/>
      <protection locked="0"/>
    </xf>
    <xf numFmtId="0" fontId="4" fillId="0" borderId="24" xfId="0" applyFont="1" applyBorder="1" applyAlignment="1">
      <alignment horizontal="center" vertical="center"/>
    </xf>
    <xf numFmtId="0" fontId="4" fillId="0" borderId="24" xfId="0" applyFont="1" applyBorder="1" applyAlignment="1" applyProtection="1">
      <alignment vertical="center" wrapText="1"/>
      <protection locked="0"/>
    </xf>
    <xf numFmtId="3" fontId="4" fillId="0" borderId="24" xfId="0" applyNumberFormat="1" applyFont="1" applyBorder="1" applyAlignment="1" applyProtection="1">
      <alignment vertical="center" wrapText="1"/>
      <protection locked="0"/>
    </xf>
    <xf numFmtId="3" fontId="4" fillId="0" borderId="24" xfId="0" applyNumberFormat="1" applyFont="1" applyBorder="1" applyAlignment="1">
      <alignment horizontal="right" vertical="center"/>
    </xf>
    <xf numFmtId="0" fontId="165" fillId="0" borderId="0" xfId="0" applyFont="1" applyAlignment="1">
      <alignment horizontal="right"/>
    </xf>
    <xf numFmtId="0" fontId="166" fillId="0" borderId="0" xfId="0" applyFont="1"/>
    <xf numFmtId="0" fontId="22" fillId="7" borderId="44" xfId="0" applyFont="1" applyFill="1" applyBorder="1" applyAlignment="1" applyProtection="1">
      <alignment horizontal="center" vertical="center" wrapText="1"/>
      <protection locked="0"/>
    </xf>
    <xf numFmtId="0" fontId="22" fillId="7" borderId="45" xfId="0" applyFont="1" applyFill="1" applyBorder="1" applyAlignment="1" applyProtection="1">
      <alignment horizontal="center" vertical="center" wrapText="1"/>
      <protection locked="0"/>
    </xf>
    <xf numFmtId="0" fontId="22" fillId="7" borderId="45" xfId="0" applyFont="1" applyFill="1" applyBorder="1" applyAlignment="1" applyProtection="1">
      <alignment vertical="center" wrapText="1"/>
      <protection locked="0"/>
    </xf>
    <xf numFmtId="3" fontId="22" fillId="7" borderId="45" xfId="0" applyNumberFormat="1" applyFont="1" applyFill="1" applyBorder="1" applyAlignment="1" applyProtection="1">
      <alignment vertical="center" wrapText="1"/>
      <protection locked="0"/>
    </xf>
    <xf numFmtId="0" fontId="4" fillId="7" borderId="17" xfId="0" applyFont="1" applyFill="1" applyBorder="1" applyAlignment="1" applyProtection="1">
      <alignment horizontal="center" vertical="center" wrapText="1"/>
      <protection locked="0"/>
    </xf>
    <xf numFmtId="206" fontId="4" fillId="7" borderId="17" xfId="0" applyNumberFormat="1" applyFont="1" applyFill="1" applyBorder="1" applyAlignment="1" applyProtection="1">
      <alignment vertical="center" wrapText="1"/>
      <protection locked="0"/>
    </xf>
    <xf numFmtId="3" fontId="22" fillId="7" borderId="17" xfId="0" applyNumberFormat="1" applyFont="1" applyFill="1" applyBorder="1" applyAlignment="1" applyProtection="1">
      <alignment vertical="center" wrapText="1"/>
      <protection locked="0"/>
    </xf>
    <xf numFmtId="3" fontId="4" fillId="7" borderId="17" xfId="0" applyNumberFormat="1" applyFont="1" applyFill="1" applyBorder="1" applyAlignment="1" applyProtection="1">
      <alignment vertical="center" wrapText="1"/>
      <protection locked="0"/>
    </xf>
    <xf numFmtId="0" fontId="4" fillId="7" borderId="17" xfId="0" applyFont="1" applyFill="1" applyBorder="1" applyAlignment="1" applyProtection="1">
      <alignment horizontal="left" vertical="center" wrapText="1"/>
      <protection locked="0"/>
    </xf>
    <xf numFmtId="0" fontId="132" fillId="0" borderId="19" xfId="0" applyFont="1" applyBorder="1" applyAlignment="1">
      <alignment horizontal="center" vertical="center" wrapText="1"/>
    </xf>
    <xf numFmtId="3" fontId="22" fillId="7" borderId="47" xfId="0" applyNumberFormat="1" applyFont="1" applyFill="1" applyBorder="1" applyAlignment="1" applyProtection="1">
      <alignment vertical="center" wrapText="1"/>
      <protection locked="0"/>
    </xf>
    <xf numFmtId="3" fontId="4" fillId="7" borderId="19" xfId="0" applyNumberFormat="1" applyFont="1" applyFill="1" applyBorder="1" applyAlignment="1" applyProtection="1">
      <alignment vertical="center" wrapText="1"/>
      <protection locked="0"/>
    </xf>
    <xf numFmtId="0" fontId="164" fillId="7" borderId="17" xfId="0" applyFont="1" applyFill="1" applyBorder="1"/>
    <xf numFmtId="0" fontId="114" fillId="0" borderId="0" xfId="0" applyFont="1" applyAlignment="1"/>
    <xf numFmtId="168" fontId="10" fillId="7" borderId="45" xfId="0" applyNumberFormat="1" applyFont="1" applyFill="1" applyBorder="1" applyAlignment="1" applyProtection="1">
      <alignment vertical="center" wrapText="1"/>
      <protection locked="0"/>
    </xf>
    <xf numFmtId="3" fontId="10" fillId="7" borderId="45" xfId="0" applyNumberFormat="1" applyFont="1" applyFill="1" applyBorder="1" applyAlignment="1" applyProtection="1">
      <alignment vertical="center" wrapText="1"/>
      <protection locked="0"/>
    </xf>
    <xf numFmtId="0" fontId="10" fillId="7" borderId="50" xfId="0" applyFont="1" applyFill="1" applyBorder="1" applyAlignment="1" applyProtection="1">
      <alignment vertical="center" wrapText="1"/>
      <protection locked="0"/>
    </xf>
    <xf numFmtId="0" fontId="10" fillId="7" borderId="51" xfId="0" applyFont="1" applyFill="1" applyBorder="1" applyAlignment="1" applyProtection="1">
      <alignment vertical="center" wrapText="1"/>
      <protection locked="0"/>
    </xf>
    <xf numFmtId="0" fontId="132" fillId="0" borderId="17" xfId="0" applyFont="1" applyBorder="1" applyAlignment="1">
      <alignment horizontal="center" vertical="center" wrapText="1"/>
    </xf>
    <xf numFmtId="0" fontId="5" fillId="7" borderId="44" xfId="0" applyFont="1" applyFill="1" applyBorder="1" applyAlignment="1" applyProtection="1">
      <alignment horizontal="center" vertical="center" wrapText="1"/>
      <protection locked="0"/>
    </xf>
    <xf numFmtId="0" fontId="5" fillId="7" borderId="45" xfId="0" applyFont="1" applyFill="1" applyBorder="1" applyAlignment="1" applyProtection="1">
      <alignment horizontal="center" vertical="center" wrapText="1"/>
      <protection locked="0"/>
    </xf>
    <xf numFmtId="0" fontId="5" fillId="7" borderId="45" xfId="0" applyFont="1" applyFill="1" applyBorder="1" applyAlignment="1" applyProtection="1">
      <alignment vertical="center" wrapText="1"/>
      <protection locked="0"/>
    </xf>
    <xf numFmtId="3" fontId="5" fillId="7" borderId="45" xfId="0" applyNumberFormat="1" applyFont="1" applyFill="1" applyBorder="1" applyAlignment="1" applyProtection="1">
      <alignment vertical="center" wrapText="1"/>
      <protection locked="0"/>
    </xf>
    <xf numFmtId="0" fontId="114" fillId="0" borderId="0" xfId="0" applyFont="1" applyAlignment="1">
      <alignment vertical="center"/>
    </xf>
    <xf numFmtId="0" fontId="7" fillId="7" borderId="44" xfId="0" applyFont="1" applyFill="1" applyBorder="1" applyAlignment="1" applyProtection="1">
      <alignment vertical="center" wrapText="1"/>
      <protection locked="0"/>
    </xf>
    <xf numFmtId="0" fontId="7" fillId="7" borderId="45" xfId="0" applyFont="1" applyFill="1" applyBorder="1" applyAlignment="1" applyProtection="1">
      <alignment horizontal="center" vertical="center" wrapText="1"/>
      <protection locked="0"/>
    </xf>
    <xf numFmtId="0" fontId="7" fillId="7" borderId="45" xfId="0" applyFont="1" applyFill="1" applyBorder="1" applyAlignment="1" applyProtection="1">
      <alignment vertical="center" wrapText="1"/>
      <protection locked="0"/>
    </xf>
    <xf numFmtId="207" fontId="7" fillId="7" borderId="45" xfId="0" applyNumberFormat="1" applyFont="1" applyFill="1" applyBorder="1" applyAlignment="1" applyProtection="1">
      <alignment horizontal="center" vertical="center" wrapText="1"/>
      <protection locked="0"/>
    </xf>
    <xf numFmtId="168" fontId="7" fillId="7" borderId="45" xfId="0" applyNumberFormat="1" applyFont="1" applyFill="1" applyBorder="1" applyAlignment="1" applyProtection="1">
      <alignment vertical="center" wrapText="1"/>
      <protection locked="0"/>
    </xf>
    <xf numFmtId="3" fontId="7" fillId="7" borderId="45" xfId="0" applyNumberFormat="1" applyFont="1" applyFill="1" applyBorder="1" applyAlignment="1" applyProtection="1">
      <alignment vertical="center" wrapText="1"/>
      <protection locked="0"/>
    </xf>
    <xf numFmtId="0" fontId="10" fillId="7" borderId="44" xfId="0" applyFont="1" applyFill="1" applyBorder="1" applyAlignment="1" applyProtection="1">
      <alignment vertical="center" wrapText="1"/>
      <protection locked="0"/>
    </xf>
    <xf numFmtId="0" fontId="10" fillId="7" borderId="45" xfId="0" applyFont="1" applyFill="1" applyBorder="1" applyAlignment="1" applyProtection="1">
      <alignment horizontal="center" vertical="center" wrapText="1"/>
      <protection locked="0"/>
    </xf>
    <xf numFmtId="0" fontId="10" fillId="7" borderId="45" xfId="0" applyFont="1" applyFill="1" applyBorder="1" applyAlignment="1" applyProtection="1">
      <alignment vertical="center" wrapText="1"/>
      <protection locked="0"/>
    </xf>
    <xf numFmtId="207" fontId="10" fillId="7" borderId="45" xfId="0" applyNumberFormat="1" applyFont="1" applyFill="1" applyBorder="1" applyAlignment="1" applyProtection="1">
      <alignment horizontal="center" vertical="center" wrapText="1"/>
      <protection locked="0"/>
    </xf>
    <xf numFmtId="0" fontId="5" fillId="7" borderId="44" xfId="0" applyFont="1" applyFill="1" applyBorder="1" applyAlignment="1" applyProtection="1">
      <alignment vertical="center" wrapText="1"/>
      <protection locked="0"/>
    </xf>
    <xf numFmtId="49" fontId="5" fillId="7" borderId="45" xfId="0" applyNumberFormat="1" applyFont="1" applyFill="1" applyBorder="1" applyAlignment="1" applyProtection="1">
      <alignment horizontal="right" vertical="center" wrapText="1"/>
      <protection locked="0"/>
    </xf>
    <xf numFmtId="49" fontId="10" fillId="7" borderId="45" xfId="0" applyNumberFormat="1" applyFont="1" applyFill="1" applyBorder="1" applyAlignment="1" applyProtection="1">
      <alignment horizontal="right" vertical="center" wrapText="1"/>
      <protection locked="0"/>
    </xf>
    <xf numFmtId="9" fontId="10" fillId="7" borderId="45" xfId="0" applyNumberFormat="1" applyFont="1" applyFill="1" applyBorder="1" applyAlignment="1" applyProtection="1">
      <alignment vertical="center" wrapText="1"/>
      <protection locked="0"/>
    </xf>
    <xf numFmtId="0" fontId="5" fillId="7" borderId="46" xfId="0" applyFont="1" applyFill="1" applyBorder="1" applyAlignment="1" applyProtection="1">
      <alignment vertical="center" wrapText="1"/>
      <protection locked="0"/>
    </xf>
    <xf numFmtId="0" fontId="5" fillId="7" borderId="48" xfId="0" applyFont="1" applyFill="1" applyBorder="1" applyAlignment="1" applyProtection="1">
      <alignment horizontal="center" vertical="center" wrapText="1"/>
      <protection locked="0"/>
    </xf>
    <xf numFmtId="0" fontId="5" fillId="7" borderId="48" xfId="0" applyFont="1" applyFill="1" applyBorder="1" applyAlignment="1" applyProtection="1">
      <alignment vertical="center" wrapText="1"/>
      <protection locked="0"/>
    </xf>
    <xf numFmtId="10" fontId="5" fillId="7" borderId="48" xfId="0" applyNumberFormat="1" applyFont="1" applyFill="1" applyBorder="1" applyAlignment="1" applyProtection="1">
      <alignment vertical="center" wrapText="1"/>
      <protection locked="0"/>
    </xf>
    <xf numFmtId="3" fontId="5" fillId="7" borderId="48" xfId="0" applyNumberFormat="1" applyFont="1" applyFill="1" applyBorder="1" applyAlignment="1" applyProtection="1">
      <alignment vertical="center" wrapText="1"/>
      <protection locked="0"/>
    </xf>
    <xf numFmtId="3" fontId="168" fillId="7" borderId="48" xfId="0" applyNumberFormat="1" applyFont="1" applyFill="1" applyBorder="1" applyAlignment="1" applyProtection="1">
      <alignment vertical="center" wrapText="1"/>
      <protection locked="0"/>
    </xf>
    <xf numFmtId="0" fontId="5" fillId="7" borderId="49" xfId="0" applyFont="1" applyFill="1" applyBorder="1" applyAlignment="1" applyProtection="1">
      <alignment vertical="center" wrapText="1"/>
      <protection locked="0"/>
    </xf>
    <xf numFmtId="0" fontId="5" fillId="7" borderId="49" xfId="0" applyFont="1" applyFill="1" applyBorder="1" applyAlignment="1" applyProtection="1">
      <alignment horizontal="center" vertical="center" wrapText="1"/>
      <protection locked="0"/>
    </xf>
    <xf numFmtId="3" fontId="5" fillId="7" borderId="49" xfId="0" applyNumberFormat="1" applyFont="1" applyFill="1" applyBorder="1" applyAlignment="1" applyProtection="1">
      <alignment vertical="center" wrapText="1"/>
      <protection locked="0"/>
    </xf>
    <xf numFmtId="3" fontId="168" fillId="7" borderId="49" xfId="0" applyNumberFormat="1" applyFont="1" applyFill="1" applyBorder="1" applyAlignment="1" applyProtection="1">
      <alignment vertical="center" wrapText="1"/>
      <protection locked="0"/>
    </xf>
    <xf numFmtId="0" fontId="5" fillId="7" borderId="50" xfId="0" applyFont="1" applyFill="1" applyBorder="1" applyAlignment="1" applyProtection="1">
      <alignment vertical="center" wrapText="1"/>
      <protection locked="0"/>
    </xf>
    <xf numFmtId="0" fontId="10" fillId="7" borderId="50" xfId="0" applyFont="1" applyFill="1" applyBorder="1" applyAlignment="1" applyProtection="1">
      <alignment horizontal="center" vertical="center" wrapText="1"/>
      <protection locked="0"/>
    </xf>
    <xf numFmtId="0" fontId="5" fillId="7" borderId="50" xfId="0" applyFont="1" applyFill="1" applyBorder="1" applyAlignment="1" applyProtection="1">
      <alignment horizontal="center" vertical="center" wrapText="1"/>
      <protection locked="0"/>
    </xf>
    <xf numFmtId="10" fontId="10" fillId="7" borderId="50" xfId="0" applyNumberFormat="1" applyFont="1" applyFill="1" applyBorder="1" applyAlignment="1" applyProtection="1">
      <alignment vertical="center" wrapText="1"/>
      <protection locked="0"/>
    </xf>
    <xf numFmtId="3" fontId="5" fillId="7" borderId="50" xfId="0" applyNumberFormat="1" applyFont="1" applyFill="1" applyBorder="1" applyAlignment="1" applyProtection="1">
      <alignment vertical="center" wrapText="1"/>
      <protection locked="0"/>
    </xf>
    <xf numFmtId="3" fontId="168" fillId="7" borderId="50" xfId="0" applyNumberFormat="1" applyFont="1" applyFill="1" applyBorder="1" applyAlignment="1" applyProtection="1">
      <alignment vertical="center" wrapText="1"/>
      <protection locked="0"/>
    </xf>
    <xf numFmtId="168" fontId="10" fillId="7" borderId="50" xfId="0" applyNumberFormat="1" applyFont="1" applyFill="1" applyBorder="1" applyAlignment="1" applyProtection="1">
      <alignment vertical="center" wrapText="1"/>
      <protection locked="0"/>
    </xf>
    <xf numFmtId="3" fontId="10" fillId="7" borderId="50" xfId="0" applyNumberFormat="1" applyFont="1" applyFill="1" applyBorder="1" applyAlignment="1" applyProtection="1">
      <alignment vertical="center" wrapText="1"/>
      <protection locked="0"/>
    </xf>
    <xf numFmtId="0" fontId="5" fillId="7" borderId="51" xfId="0" applyFont="1" applyFill="1" applyBorder="1" applyAlignment="1" applyProtection="1">
      <alignment vertical="center" wrapText="1"/>
      <protection locked="0"/>
    </xf>
    <xf numFmtId="0" fontId="10" fillId="7" borderId="51" xfId="0" applyFont="1" applyFill="1" applyBorder="1" applyAlignment="1" applyProtection="1">
      <alignment horizontal="center" vertical="center" wrapText="1"/>
      <protection locked="0"/>
    </xf>
    <xf numFmtId="0" fontId="5" fillId="7" borderId="51" xfId="0" applyFont="1" applyFill="1" applyBorder="1" applyAlignment="1" applyProtection="1">
      <alignment horizontal="center" vertical="center" wrapText="1"/>
      <protection locked="0"/>
    </xf>
    <xf numFmtId="10" fontId="10" fillId="7" borderId="51" xfId="0" applyNumberFormat="1" applyFont="1" applyFill="1" applyBorder="1" applyAlignment="1" applyProtection="1">
      <alignment vertical="center" wrapText="1"/>
      <protection locked="0"/>
    </xf>
    <xf numFmtId="3" fontId="5" fillId="7" borderId="51" xfId="0" applyNumberFormat="1" applyFont="1" applyFill="1" applyBorder="1" applyAlignment="1" applyProtection="1">
      <alignment vertical="center" wrapText="1"/>
      <protection locked="0"/>
    </xf>
    <xf numFmtId="3" fontId="168" fillId="7" borderId="51" xfId="0" applyNumberFormat="1" applyFont="1" applyFill="1" applyBorder="1" applyAlignment="1" applyProtection="1">
      <alignment vertical="center" wrapText="1"/>
      <protection locked="0"/>
    </xf>
    <xf numFmtId="0" fontId="153" fillId="0" borderId="0" xfId="0" applyFont="1" applyAlignment="1">
      <alignment horizontal="left" vertical="center"/>
    </xf>
    <xf numFmtId="3" fontId="10" fillId="7" borderId="45" xfId="0" applyNumberFormat="1" applyFont="1" applyFill="1" applyBorder="1" applyAlignment="1" applyProtection="1">
      <alignment horizontal="left" vertical="center" wrapText="1"/>
      <protection locked="0"/>
    </xf>
    <xf numFmtId="3" fontId="10" fillId="7" borderId="45" xfId="0" quotePrefix="1" applyNumberFormat="1" applyFont="1" applyFill="1" applyBorder="1" applyAlignment="1" applyProtection="1">
      <alignment horizontal="left" vertical="center" wrapText="1"/>
      <protection locked="0"/>
    </xf>
    <xf numFmtId="3" fontId="10" fillId="7" borderId="48" xfId="0" applyNumberFormat="1" applyFont="1" applyFill="1" applyBorder="1" applyAlignment="1" applyProtection="1">
      <alignment horizontal="left" vertical="center" wrapText="1"/>
      <protection locked="0"/>
    </xf>
    <xf numFmtId="3" fontId="10" fillId="7" borderId="49" xfId="0" applyNumberFormat="1" applyFont="1" applyFill="1" applyBorder="1" applyAlignment="1" applyProtection="1">
      <alignment horizontal="left" vertical="center" wrapText="1"/>
      <protection locked="0"/>
    </xf>
    <xf numFmtId="3" fontId="10" fillId="7" borderId="50" xfId="0" applyNumberFormat="1" applyFont="1" applyFill="1" applyBorder="1" applyAlignment="1" applyProtection="1">
      <alignment horizontal="left" vertical="center" wrapText="1"/>
      <protection locked="0"/>
    </xf>
    <xf numFmtId="3" fontId="10" fillId="7" borderId="51" xfId="0" applyNumberFormat="1" applyFont="1" applyFill="1" applyBorder="1" applyAlignment="1" applyProtection="1">
      <alignment horizontal="left" vertical="center" wrapText="1"/>
      <protection locked="0"/>
    </xf>
    <xf numFmtId="0" fontId="0" fillId="0" borderId="0" xfId="0" applyFont="1" applyAlignment="1">
      <alignment horizontal="left" vertical="center"/>
    </xf>
    <xf numFmtId="0" fontId="28" fillId="0" borderId="0" xfId="0" applyFont="1" applyAlignment="1">
      <alignment horizontal="right" vertical="center"/>
    </xf>
    <xf numFmtId="172" fontId="22" fillId="7" borderId="45" xfId="0" applyNumberFormat="1" applyFont="1" applyFill="1" applyBorder="1" applyAlignment="1" applyProtection="1">
      <alignment vertical="center" wrapText="1"/>
      <protection locked="0"/>
    </xf>
    <xf numFmtId="0" fontId="144" fillId="7" borderId="17" xfId="0" applyFont="1" applyFill="1" applyBorder="1" applyAlignment="1">
      <alignment horizontal="left" vertical="center" wrapText="1"/>
    </xf>
    <xf numFmtId="0" fontId="4" fillId="7" borderId="17" xfId="0" applyFont="1" applyFill="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3" fontId="22" fillId="0" borderId="24" xfId="0" applyNumberFormat="1" applyFont="1" applyBorder="1" applyAlignment="1">
      <alignment horizontal="left" vertical="center" wrapText="1"/>
    </xf>
    <xf numFmtId="0" fontId="17" fillId="0" borderId="22" xfId="0" quotePrefix="1" applyFont="1" applyBorder="1" applyAlignment="1" applyProtection="1">
      <alignment horizontal="center" vertical="center" wrapText="1"/>
      <protection locked="0"/>
    </xf>
    <xf numFmtId="0" fontId="22" fillId="7" borderId="3" xfId="0" applyFont="1" applyFill="1" applyBorder="1" applyAlignment="1" applyProtection="1">
      <alignment horizontal="center" vertical="center" wrapText="1"/>
      <protection locked="0"/>
    </xf>
    <xf numFmtId="0" fontId="22" fillId="7" borderId="4" xfId="0" applyFont="1" applyFill="1" applyBorder="1" applyAlignment="1" applyProtection="1">
      <alignment horizontal="center" vertical="center" wrapText="1"/>
      <protection locked="0"/>
    </xf>
    <xf numFmtId="0" fontId="22" fillId="7" borderId="4" xfId="0" applyFont="1" applyFill="1" applyBorder="1" applyAlignment="1" applyProtection="1">
      <alignment horizontal="left" vertical="center" wrapText="1"/>
      <protection locked="0"/>
    </xf>
    <xf numFmtId="3" fontId="22" fillId="7" borderId="4" xfId="0" applyNumberFormat="1" applyFont="1" applyFill="1" applyBorder="1" applyAlignment="1" applyProtection="1">
      <alignment vertical="center" wrapText="1"/>
      <protection locked="0"/>
    </xf>
    <xf numFmtId="172" fontId="22" fillId="7" borderId="4" xfId="0" applyNumberFormat="1" applyFont="1" applyFill="1" applyBorder="1" applyAlignment="1" applyProtection="1">
      <alignment vertical="center" wrapText="1"/>
      <protection locked="0"/>
    </xf>
    <xf numFmtId="3" fontId="22" fillId="7" borderId="0" xfId="0" applyNumberFormat="1" applyFont="1" applyFill="1" applyBorder="1" applyAlignment="1" applyProtection="1">
      <alignment vertical="center" wrapText="1"/>
      <protection locked="0"/>
    </xf>
    <xf numFmtId="0" fontId="167" fillId="7" borderId="17" xfId="0" applyFont="1" applyFill="1" applyBorder="1" applyAlignment="1" applyProtection="1">
      <alignment horizontal="center" vertical="center" wrapText="1"/>
      <protection locked="0"/>
    </xf>
    <xf numFmtId="3" fontId="17" fillId="0" borderId="19" xfId="223" quotePrefix="1" applyNumberFormat="1" applyFont="1" applyFill="1" applyBorder="1" applyAlignment="1">
      <alignment horizontal="center" vertical="center" wrapText="1"/>
    </xf>
    <xf numFmtId="3" fontId="10" fillId="0" borderId="19" xfId="0" applyNumberFormat="1" applyFont="1" applyBorder="1" applyAlignment="1" applyProtection="1">
      <alignment vertical="center" wrapText="1"/>
      <protection locked="0"/>
    </xf>
    <xf numFmtId="0" fontId="17" fillId="0" borderId="17" xfId="0" quotePrefix="1"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14" fillId="0" borderId="0" xfId="4" applyFont="1" applyAlignment="1">
      <alignment horizontal="center" vertical="center" wrapText="1"/>
    </xf>
    <xf numFmtId="0" fontId="33" fillId="0" borderId="19"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2" xfId="0" applyFont="1" applyBorder="1" applyAlignment="1">
      <alignment horizontal="center" vertical="center" wrapText="1"/>
    </xf>
    <xf numFmtId="0" fontId="6" fillId="0" borderId="0" xfId="0" applyFont="1" applyAlignment="1" applyProtection="1">
      <alignment vertical="center" wrapText="1"/>
      <protection locked="0"/>
    </xf>
    <xf numFmtId="0" fontId="5" fillId="0" borderId="18" xfId="0" applyFont="1" applyBorder="1" applyAlignment="1" applyProtection="1">
      <alignment horizontal="center" vertical="center" wrapText="1"/>
      <protection locked="0"/>
    </xf>
    <xf numFmtId="0" fontId="146" fillId="0" borderId="0" xfId="0" applyFont="1" applyAlignment="1" applyProtection="1">
      <alignment horizontal="center" vertical="center" wrapText="1"/>
      <protection locked="0"/>
    </xf>
    <xf numFmtId="3" fontId="12" fillId="4" borderId="19" xfId="0" applyNumberFormat="1" applyFont="1" applyFill="1" applyBorder="1" applyAlignment="1">
      <alignment horizontal="center" vertical="center" wrapText="1"/>
    </xf>
    <xf numFmtId="3" fontId="12" fillId="4" borderId="27" xfId="0" applyNumberFormat="1"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22" xfId="0" applyFont="1" applyFill="1" applyBorder="1" applyAlignment="1">
      <alignment horizontal="center" vertical="center" wrapText="1"/>
    </xf>
    <xf numFmtId="3" fontId="12" fillId="4" borderId="20" xfId="0" applyNumberFormat="1" applyFont="1" applyFill="1" applyBorder="1" applyAlignment="1">
      <alignment horizontal="center" vertical="center" wrapText="1"/>
    </xf>
    <xf numFmtId="3" fontId="12" fillId="4" borderId="22" xfId="0" applyNumberFormat="1" applyFont="1" applyFill="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133" fillId="0" borderId="20" xfId="0" quotePrefix="1" applyFont="1" applyBorder="1" applyAlignment="1">
      <alignment horizontal="left" vertical="center" wrapText="1"/>
    </xf>
    <xf numFmtId="0" fontId="133" fillId="0" borderId="21" xfId="0" applyFont="1" applyBorder="1" applyAlignment="1">
      <alignment horizontal="left" vertical="center"/>
    </xf>
    <xf numFmtId="0" fontId="133" fillId="0" borderId="22" xfId="0" applyFont="1" applyBorder="1" applyAlignment="1">
      <alignment horizontal="left" vertical="center"/>
    </xf>
    <xf numFmtId="3" fontId="14" fillId="4" borderId="20" xfId="0" applyNumberFormat="1" applyFont="1" applyFill="1" applyBorder="1" applyAlignment="1">
      <alignment horizontal="center" vertical="center" wrapText="1"/>
    </xf>
    <xf numFmtId="3" fontId="14" fillId="4" borderId="22" xfId="0" applyNumberFormat="1" applyFont="1" applyFill="1" applyBorder="1" applyAlignment="1">
      <alignment horizontal="center" vertical="center" wrapText="1"/>
    </xf>
    <xf numFmtId="3" fontId="121" fillId="4" borderId="19" xfId="0" applyNumberFormat="1" applyFont="1" applyFill="1" applyBorder="1" applyAlignment="1">
      <alignment horizontal="center" vertical="center" wrapText="1"/>
    </xf>
    <xf numFmtId="3" fontId="121" fillId="4" borderId="27" xfId="0" applyNumberFormat="1" applyFont="1" applyFill="1" applyBorder="1" applyAlignment="1">
      <alignment horizontal="center" vertical="center" wrapText="1"/>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28" fillId="7" borderId="20" xfId="0" quotePrefix="1" applyFont="1" applyFill="1" applyBorder="1" applyAlignment="1">
      <alignment horizontal="left" vertical="center" wrapText="1"/>
    </xf>
    <xf numFmtId="0" fontId="28" fillId="7" borderId="21" xfId="0" applyFont="1" applyFill="1" applyBorder="1" applyAlignment="1">
      <alignment horizontal="left" vertical="center" wrapText="1"/>
    </xf>
    <xf numFmtId="0" fontId="28" fillId="7" borderId="22" xfId="0" applyFont="1" applyFill="1" applyBorder="1" applyAlignment="1">
      <alignment horizontal="left" vertical="center" wrapText="1"/>
    </xf>
    <xf numFmtId="0" fontId="27" fillId="7" borderId="20" xfId="0" applyFont="1" applyFill="1" applyBorder="1" applyAlignment="1">
      <alignment horizontal="center" vertical="center" wrapText="1"/>
    </xf>
    <xf numFmtId="0" fontId="27" fillId="7" borderId="22" xfId="0" applyFont="1" applyFill="1" applyBorder="1" applyAlignment="1">
      <alignment horizontal="center" vertical="center" wrapText="1"/>
    </xf>
    <xf numFmtId="0" fontId="27" fillId="7" borderId="19" xfId="0" applyFont="1" applyFill="1" applyBorder="1" applyAlignment="1">
      <alignment horizontal="center" vertical="center" wrapText="1"/>
    </xf>
    <xf numFmtId="0" fontId="27" fillId="7" borderId="27" xfId="0" applyFont="1" applyFill="1" applyBorder="1" applyAlignment="1">
      <alignment horizontal="center" vertical="center" wrapText="1"/>
    </xf>
    <xf numFmtId="0" fontId="27" fillId="0" borderId="20"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7" xfId="0" applyFont="1" applyBorder="1" applyAlignment="1">
      <alignment horizontal="left" vertical="center" wrapText="1" indent="1"/>
    </xf>
    <xf numFmtId="0" fontId="27" fillId="0" borderId="17" xfId="0" applyFont="1" applyBorder="1" applyAlignment="1">
      <alignment horizontal="center" vertical="center" wrapText="1"/>
    </xf>
    <xf numFmtId="0" fontId="12" fillId="4" borderId="19"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0" fillId="7" borderId="20" xfId="0" quotePrefix="1" applyFont="1" applyFill="1" applyBorder="1" applyAlignment="1">
      <alignment horizontal="left" vertical="center" wrapText="1"/>
    </xf>
    <xf numFmtId="0" fontId="10" fillId="7" borderId="21" xfId="0" quotePrefix="1" applyFont="1" applyFill="1" applyBorder="1" applyAlignment="1">
      <alignment horizontal="left" vertical="center" wrapText="1"/>
    </xf>
    <xf numFmtId="0" fontId="114" fillId="0" borderId="0" xfId="0" applyFont="1" applyAlignment="1">
      <alignment horizontal="center"/>
    </xf>
    <xf numFmtId="0" fontId="4" fillId="7" borderId="17" xfId="0" applyFont="1" applyFill="1" applyBorder="1" applyAlignment="1" applyProtection="1">
      <alignment horizontal="center" vertical="center" wrapText="1"/>
      <protection locked="0"/>
    </xf>
    <xf numFmtId="0" fontId="4" fillId="7" borderId="19" xfId="0" applyFont="1" applyFill="1" applyBorder="1" applyAlignment="1" applyProtection="1">
      <alignment horizontal="center" vertical="center" wrapText="1"/>
      <protection locked="0"/>
    </xf>
    <xf numFmtId="0" fontId="16" fillId="0" borderId="18" xfId="0" applyFont="1" applyBorder="1" applyAlignment="1" applyProtection="1">
      <alignment horizontal="right" vertical="center" wrapText="1"/>
      <protection locked="0"/>
    </xf>
    <xf numFmtId="0" fontId="5" fillId="7" borderId="20"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17" xfId="0" applyFont="1" applyFill="1" applyBorder="1" applyAlignment="1" applyProtection="1">
      <alignment horizontal="center" vertical="center" wrapText="1"/>
      <protection locked="0"/>
    </xf>
    <xf numFmtId="0" fontId="132" fillId="0" borderId="17" xfId="0" applyFont="1" applyBorder="1" applyAlignment="1">
      <alignment horizontal="center" vertical="center" wrapText="1"/>
    </xf>
    <xf numFmtId="0" fontId="4" fillId="0" borderId="25" xfId="0" applyFont="1" applyBorder="1" applyAlignment="1">
      <alignment horizontal="left" vertical="center"/>
    </xf>
    <xf numFmtId="0" fontId="4" fillId="0" borderId="18" xfId="0" applyFont="1" applyBorder="1" applyAlignment="1">
      <alignment horizontal="left" vertical="center"/>
    </xf>
    <xf numFmtId="0" fontId="12" fillId="7" borderId="19" xfId="0" applyFont="1" applyFill="1" applyBorder="1" applyAlignment="1">
      <alignment horizontal="left" vertical="center"/>
    </xf>
    <xf numFmtId="0" fontId="12" fillId="7" borderId="26" xfId="0" applyFont="1" applyFill="1" applyBorder="1" applyAlignment="1">
      <alignment horizontal="left" vertical="center"/>
    </xf>
    <xf numFmtId="0" fontId="12" fillId="0" borderId="17" xfId="0" applyFont="1" applyBorder="1" applyAlignment="1">
      <alignment horizontal="center" vertical="center"/>
    </xf>
    <xf numFmtId="0" fontId="22" fillId="0" borderId="17" xfId="5" applyFont="1" applyBorder="1" applyAlignment="1">
      <alignment horizontal="left" vertical="center" wrapText="1"/>
    </xf>
    <xf numFmtId="0" fontId="22" fillId="7" borderId="0" xfId="0" quotePrefix="1" applyFont="1" applyFill="1" applyBorder="1" applyAlignment="1" applyProtection="1">
      <alignment horizontal="left" vertical="center" wrapText="1"/>
      <protection locked="0"/>
    </xf>
    <xf numFmtId="0" fontId="22" fillId="7" borderId="0" xfId="0" applyFont="1" applyFill="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12" fillId="4" borderId="35" xfId="0" applyFont="1" applyFill="1" applyBorder="1" applyAlignment="1">
      <alignment horizontal="center" vertical="center" wrapText="1"/>
    </xf>
    <xf numFmtId="0" fontId="12" fillId="4" borderId="36" xfId="0" applyFont="1" applyFill="1" applyBorder="1" applyAlignment="1">
      <alignment horizontal="center" vertical="center" wrapText="1"/>
    </xf>
    <xf numFmtId="3" fontId="22" fillId="0" borderId="52" xfId="0" quotePrefix="1" applyNumberFormat="1" applyFont="1" applyBorder="1" applyAlignment="1">
      <alignment horizontal="left" vertical="center" wrapText="1"/>
    </xf>
    <xf numFmtId="3" fontId="22" fillId="0" borderId="21" xfId="0" applyNumberFormat="1" applyFont="1" applyBorder="1" applyAlignment="1">
      <alignment horizontal="left" vertical="center"/>
    </xf>
    <xf numFmtId="3" fontId="22" fillId="0" borderId="34" xfId="0" applyNumberFormat="1" applyFont="1" applyBorder="1" applyAlignment="1">
      <alignment horizontal="left" vertical="center"/>
    </xf>
    <xf numFmtId="0" fontId="123" fillId="3" borderId="19" xfId="0" applyFont="1" applyFill="1" applyBorder="1" applyAlignment="1">
      <alignment horizontal="center" vertical="center" wrapText="1"/>
    </xf>
    <xf numFmtId="0" fontId="123" fillId="3" borderId="2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7" xfId="0" applyFont="1" applyBorder="1" applyAlignment="1">
      <alignment horizontal="center" vertical="center" wrapText="1"/>
    </xf>
    <xf numFmtId="3" fontId="107" fillId="0" borderId="19" xfId="0" applyNumberFormat="1" applyFont="1" applyBorder="1" applyAlignment="1">
      <alignment horizontal="center" vertical="center" wrapText="1"/>
    </xf>
    <xf numFmtId="3" fontId="107" fillId="0" borderId="27"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34" xfId="0" applyFont="1" applyBorder="1" applyAlignment="1">
      <alignment horizontal="center" vertical="center" wrapText="1"/>
    </xf>
    <xf numFmtId="3" fontId="107" fillId="0" borderId="20" xfId="0" applyNumberFormat="1" applyFont="1" applyBorder="1" applyAlignment="1">
      <alignment horizontal="center" vertical="center" wrapText="1"/>
    </xf>
    <xf numFmtId="3" fontId="107" fillId="0" borderId="34" xfId="0" applyNumberFormat="1" applyFont="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10" fillId="0" borderId="20"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5" fillId="0" borderId="17"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7" xfId="223" applyFont="1" applyFill="1" applyBorder="1" applyAlignment="1">
      <alignment horizontal="center" vertical="center" wrapText="1"/>
    </xf>
    <xf numFmtId="0" fontId="5" fillId="0" borderId="21"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133" fillId="7" borderId="20" xfId="0" quotePrefix="1" applyFont="1" applyFill="1" applyBorder="1" applyAlignment="1">
      <alignment horizontal="left" vertical="center" wrapText="1"/>
    </xf>
    <xf numFmtId="0" fontId="133" fillId="7" borderId="21" xfId="0" applyFont="1" applyFill="1" applyBorder="1" applyAlignment="1">
      <alignment horizontal="left" vertical="center"/>
    </xf>
    <xf numFmtId="0" fontId="133" fillId="7" borderId="22" xfId="0" applyFont="1" applyFill="1" applyBorder="1" applyAlignment="1">
      <alignment horizontal="left" vertical="center"/>
    </xf>
    <xf numFmtId="0" fontId="121" fillId="7" borderId="19" xfId="0" applyFont="1" applyFill="1" applyBorder="1" applyAlignment="1">
      <alignment horizontal="center" vertical="center" wrapText="1"/>
    </xf>
    <xf numFmtId="0" fontId="121" fillId="7" borderId="27" xfId="0" applyFont="1" applyFill="1" applyBorder="1" applyAlignment="1">
      <alignment horizontal="center" vertical="center" wrapText="1"/>
    </xf>
    <xf numFmtId="3" fontId="121" fillId="7" borderId="19" xfId="0" applyNumberFormat="1" applyFont="1" applyFill="1" applyBorder="1" applyAlignment="1">
      <alignment horizontal="center" vertical="center" wrapText="1"/>
    </xf>
    <xf numFmtId="3" fontId="121" fillId="7" borderId="27" xfId="0" applyNumberFormat="1" applyFont="1" applyFill="1" applyBorder="1" applyAlignment="1">
      <alignment horizontal="center" vertical="center" wrapText="1"/>
    </xf>
    <xf numFmtId="0" fontId="121" fillId="7" borderId="20" xfId="0" applyFont="1" applyFill="1" applyBorder="1" applyAlignment="1">
      <alignment horizontal="center" vertical="center" wrapText="1"/>
    </xf>
    <xf numFmtId="0" fontId="121" fillId="7" borderId="22" xfId="0" applyFont="1" applyFill="1" applyBorder="1" applyAlignment="1">
      <alignment horizontal="center" vertical="center" wrapText="1"/>
    </xf>
    <xf numFmtId="3" fontId="121" fillId="7" borderId="20" xfId="0" applyNumberFormat="1" applyFont="1" applyFill="1" applyBorder="1" applyAlignment="1">
      <alignment horizontal="center" vertical="center" wrapText="1"/>
    </xf>
    <xf numFmtId="3" fontId="121" fillId="7" borderId="22" xfId="0" applyNumberFormat="1" applyFont="1" applyFill="1" applyBorder="1" applyAlignment="1">
      <alignment horizontal="center" vertical="center" wrapText="1"/>
    </xf>
    <xf numFmtId="4" fontId="121" fillId="7" borderId="35" xfId="0" applyNumberFormat="1" applyFont="1" applyFill="1" applyBorder="1" applyAlignment="1">
      <alignment horizontal="center" vertical="center" wrapText="1"/>
    </xf>
    <xf numFmtId="4" fontId="121" fillId="7" borderId="36" xfId="0" applyNumberFormat="1" applyFont="1" applyFill="1" applyBorder="1" applyAlignment="1">
      <alignment horizontal="center" vertical="center" wrapText="1"/>
    </xf>
    <xf numFmtId="0" fontId="27" fillId="7" borderId="17" xfId="0" applyFont="1" applyFill="1" applyBorder="1" applyAlignment="1">
      <alignment horizontal="center" vertical="center" wrapText="1"/>
    </xf>
    <xf numFmtId="0" fontId="132" fillId="7" borderId="0" xfId="0" applyFont="1" applyFill="1" applyAlignment="1">
      <alignment horizontal="center"/>
    </xf>
    <xf numFmtId="0" fontId="148" fillId="7" borderId="17" xfId="0" applyFont="1" applyFill="1" applyBorder="1" applyAlignment="1">
      <alignment horizontal="center" vertical="center" wrapText="1"/>
    </xf>
    <xf numFmtId="0" fontId="5" fillId="7" borderId="19" xfId="224" applyFont="1" applyFill="1" applyBorder="1" applyAlignment="1">
      <alignment horizontal="center" vertical="center" wrapText="1"/>
    </xf>
    <xf numFmtId="0" fontId="5" fillId="7" borderId="27" xfId="224" applyFont="1" applyFill="1" applyBorder="1" applyAlignment="1">
      <alignment horizontal="center" vertical="center" wrapText="1"/>
    </xf>
    <xf numFmtId="0" fontId="5" fillId="7" borderId="20" xfId="224" applyFont="1" applyFill="1" applyBorder="1" applyAlignment="1">
      <alignment horizontal="center" vertical="center" wrapText="1"/>
    </xf>
    <xf numFmtId="0" fontId="5" fillId="7" borderId="22" xfId="224" applyFont="1" applyFill="1" applyBorder="1" applyAlignment="1">
      <alignment horizontal="center" vertical="center" wrapText="1"/>
    </xf>
    <xf numFmtId="0" fontId="4" fillId="0" borderId="17" xfId="0" applyFont="1" applyBorder="1" applyAlignment="1">
      <alignment horizontal="center" vertical="center" wrapText="1"/>
    </xf>
    <xf numFmtId="0" fontId="28" fillId="0" borderId="20" xfId="0" quotePrefix="1" applyFont="1" applyBorder="1" applyAlignment="1">
      <alignment horizontal="left" vertical="center" wrapText="1"/>
    </xf>
    <xf numFmtId="0" fontId="28" fillId="0" borderId="21" xfId="0" applyFont="1" applyBorder="1" applyAlignment="1">
      <alignment horizontal="left" vertical="center" wrapText="1"/>
    </xf>
    <xf numFmtId="0" fontId="28" fillId="0" borderId="22" xfId="0" applyFont="1" applyBorder="1" applyAlignment="1">
      <alignment horizontal="left" vertical="center" wrapText="1"/>
    </xf>
    <xf numFmtId="0" fontId="10" fillId="0" borderId="20" xfId="0" quotePrefix="1" applyFont="1" applyBorder="1" applyAlignment="1">
      <alignment horizontal="left" vertical="center" wrapText="1"/>
    </xf>
    <xf numFmtId="0" fontId="10" fillId="0" borderId="21" xfId="0" quotePrefix="1" applyFont="1" applyBorder="1" applyAlignment="1">
      <alignment horizontal="left" vertical="center" wrapText="1"/>
    </xf>
    <xf numFmtId="0" fontId="10" fillId="0" borderId="22" xfId="0" quotePrefix="1" applyFont="1" applyBorder="1" applyAlignment="1">
      <alignment horizontal="left" vertical="center" wrapText="1"/>
    </xf>
    <xf numFmtId="0" fontId="146" fillId="0" borderId="0" xfId="0" applyFont="1" applyAlignment="1">
      <alignment horizontal="center" vertical="center"/>
    </xf>
    <xf numFmtId="0" fontId="146" fillId="0" borderId="0" xfId="0" applyFont="1" applyAlignment="1">
      <alignment horizontal="center" vertical="center" wrapText="1"/>
    </xf>
    <xf numFmtId="0" fontId="146" fillId="7" borderId="0" xfId="0" applyFont="1" applyFill="1" applyAlignment="1">
      <alignment horizontal="center" vertical="center" wrapText="1"/>
    </xf>
    <xf numFmtId="0" fontId="10" fillId="0" borderId="17" xfId="0" applyFont="1" applyBorder="1" applyAlignment="1">
      <alignment horizontal="left" vertical="center" wrapText="1"/>
    </xf>
    <xf numFmtId="0" fontId="10" fillId="0" borderId="17" xfId="0" quotePrefix="1" applyFont="1" applyBorder="1" applyAlignment="1">
      <alignment horizontal="left" vertical="center" wrapText="1"/>
    </xf>
    <xf numFmtId="37" fontId="154" fillId="0" borderId="17" xfId="3" applyNumberFormat="1" applyFont="1" applyBorder="1" applyAlignment="1">
      <alignment horizontal="left" vertical="center" wrapText="1"/>
    </xf>
    <xf numFmtId="0" fontId="149" fillId="0" borderId="0" xfId="79"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0" fillId="0" borderId="20" xfId="0" quotePrefix="1" applyFont="1" applyFill="1" applyBorder="1" applyAlignment="1">
      <alignment horizontal="left" vertical="center" wrapText="1"/>
    </xf>
    <xf numFmtId="0" fontId="10" fillId="0" borderId="22" xfId="0" quotePrefix="1" applyFont="1" applyFill="1" applyBorder="1" applyAlignment="1">
      <alignment horizontal="left" vertical="center" wrapText="1"/>
    </xf>
    <xf numFmtId="0" fontId="146" fillId="0" borderId="0" xfId="0" applyFont="1" applyFill="1" applyBorder="1" applyAlignment="1">
      <alignment horizontal="center" vertical="center" wrapText="1"/>
    </xf>
    <xf numFmtId="0" fontId="17" fillId="0" borderId="18" xfId="0" applyFont="1" applyBorder="1" applyAlignment="1">
      <alignment horizontal="right" vertical="center"/>
    </xf>
    <xf numFmtId="0" fontId="160" fillId="0" borderId="0" xfId="0" applyFont="1" applyBorder="1" applyAlignment="1">
      <alignment horizontal="center" vertical="center"/>
    </xf>
    <xf numFmtId="0" fontId="146" fillId="0" borderId="0" xfId="0" applyFont="1" applyFill="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27" fillId="0" borderId="0" xfId="0" applyFont="1" applyAlignment="1">
      <alignment horizontal="center"/>
    </xf>
    <xf numFmtId="0" fontId="13" fillId="3" borderId="17"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9" fillId="7" borderId="20" xfId="0" applyFont="1" applyFill="1" applyBorder="1" applyAlignment="1">
      <alignment horizontal="center" vertical="center" wrapText="1"/>
    </xf>
    <xf numFmtId="0" fontId="139" fillId="7" borderId="21" xfId="0" applyFont="1" applyFill="1" applyBorder="1" applyAlignment="1">
      <alignment horizontal="center" vertical="center" wrapText="1"/>
    </xf>
    <xf numFmtId="0" fontId="139" fillId="7" borderId="22" xfId="0" applyFont="1" applyFill="1" applyBorder="1" applyAlignment="1">
      <alignment horizontal="center" vertical="center" wrapText="1"/>
    </xf>
    <xf numFmtId="0" fontId="13" fillId="7" borderId="19" xfId="0" applyFont="1" applyFill="1" applyBorder="1" applyAlignment="1">
      <alignment horizontal="left" vertical="center"/>
    </xf>
    <xf numFmtId="0" fontId="13" fillId="7" borderId="26" xfId="0" applyFont="1" applyFill="1" applyBorder="1" applyAlignment="1">
      <alignment horizontal="left" vertical="center"/>
    </xf>
    <xf numFmtId="0" fontId="13" fillId="7" borderId="27" xfId="0" applyFont="1" applyFill="1" applyBorder="1" applyAlignment="1">
      <alignment horizontal="left" vertical="center"/>
    </xf>
    <xf numFmtId="0" fontId="13" fillId="3" borderId="19"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0"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9" fillId="3" borderId="20" xfId="0" applyFont="1" applyFill="1" applyBorder="1" applyAlignment="1">
      <alignment horizontal="center" vertical="center" wrapText="1"/>
    </xf>
    <xf numFmtId="0" fontId="139" fillId="3" borderId="21" xfId="0" applyFont="1" applyFill="1" applyBorder="1" applyAlignment="1">
      <alignment horizontal="center" vertical="center" wrapText="1"/>
    </xf>
    <xf numFmtId="0" fontId="139" fillId="3" borderId="22" xfId="0" applyFont="1" applyFill="1" applyBorder="1" applyAlignment="1">
      <alignment horizontal="center" vertical="center" wrapText="1"/>
    </xf>
    <xf numFmtId="0" fontId="139" fillId="0" borderId="20" xfId="0" applyFont="1" applyBorder="1" applyAlignment="1">
      <alignment horizontal="center" vertical="center" wrapText="1"/>
    </xf>
    <xf numFmtId="0" fontId="139" fillId="0" borderId="21" xfId="0" applyFont="1" applyBorder="1" applyAlignment="1">
      <alignment horizontal="center" vertical="center" wrapText="1"/>
    </xf>
    <xf numFmtId="0" fontId="139" fillId="0" borderId="22" xfId="0" applyFont="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119" fillId="0" borderId="17" xfId="0" applyFont="1" applyBorder="1" applyAlignment="1">
      <alignment horizontal="center" vertical="center" wrapText="1"/>
    </xf>
    <xf numFmtId="0" fontId="115" fillId="3" borderId="17" xfId="0" applyFont="1" applyFill="1" applyBorder="1" applyAlignment="1">
      <alignment horizontal="center" vertical="center" wrapText="1"/>
    </xf>
    <xf numFmtId="0" fontId="115" fillId="3" borderId="7" xfId="0" applyFont="1" applyFill="1" applyBorder="1" applyAlignment="1">
      <alignment horizontal="center" vertical="center" wrapText="1"/>
    </xf>
    <xf numFmtId="0" fontId="115" fillId="3" borderId="11" xfId="0" applyFont="1" applyFill="1" applyBorder="1" applyAlignment="1">
      <alignment horizontal="center" vertical="center" wrapText="1"/>
    </xf>
    <xf numFmtId="0" fontId="115" fillId="3" borderId="15" xfId="0" applyFont="1" applyFill="1" applyBorder="1" applyAlignment="1">
      <alignment horizontal="center" vertical="center" wrapText="1"/>
    </xf>
    <xf numFmtId="0" fontId="115" fillId="3" borderId="5" xfId="0" applyFont="1" applyFill="1" applyBorder="1" applyAlignment="1">
      <alignment horizontal="center" vertical="center" wrapText="1"/>
    </xf>
    <xf numFmtId="0" fontId="115" fillId="3" borderId="16" xfId="0" applyFont="1" applyFill="1" applyBorder="1" applyAlignment="1">
      <alignment horizontal="center" vertical="center" wrapText="1"/>
    </xf>
    <xf numFmtId="0" fontId="115" fillId="3" borderId="8" xfId="0" applyFont="1" applyFill="1" applyBorder="1" applyAlignment="1">
      <alignment horizontal="center" vertical="center" wrapText="1"/>
    </xf>
    <xf numFmtId="0" fontId="115" fillId="3" borderId="9" xfId="0" applyFont="1" applyFill="1" applyBorder="1" applyAlignment="1">
      <alignment horizontal="center" vertical="center" wrapText="1"/>
    </xf>
    <xf numFmtId="0" fontId="112" fillId="0" borderId="20" xfId="0" applyFont="1" applyBorder="1" applyAlignment="1">
      <alignment horizontal="center" vertical="center" wrapText="1"/>
    </xf>
    <xf numFmtId="0" fontId="112" fillId="0" borderId="22" xfId="0" applyFont="1" applyBorder="1" applyAlignment="1">
      <alignment horizontal="center" vertical="center" wrapText="1"/>
    </xf>
    <xf numFmtId="0" fontId="112" fillId="0" borderId="17" xfId="0" applyFont="1" applyBorder="1" applyAlignment="1">
      <alignment horizontal="center" vertical="center" wrapText="1"/>
    </xf>
    <xf numFmtId="0" fontId="18" fillId="3" borderId="17" xfId="0" applyFont="1" applyFill="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cellXfs>
  <cellStyles count="225">
    <cellStyle name="_x0001_" xfId="7"/>
    <cellStyle name="          _x000d__x000a_shell=progman.exe_x000d__x000a_m" xfId="8"/>
    <cellStyle name="          _x000d__x000a_shell=progman.exe_x000d__x000a_m 2" xfId="9"/>
    <cellStyle name="??" xfId="100"/>
    <cellStyle name="?? [0.00]_      " xfId="10"/>
    <cellStyle name="?? [0]" xfId="101"/>
    <cellStyle name="???? [0.00]_      " xfId="11"/>
    <cellStyle name="??????" xfId="12"/>
    <cellStyle name="????_      " xfId="13"/>
    <cellStyle name="???[0]_Book1" xfId="102"/>
    <cellStyle name="???_???" xfId="103"/>
    <cellStyle name="??_      " xfId="14"/>
    <cellStyle name="??A? [0]_laroux_1_¢¬???¢â? " xfId="15"/>
    <cellStyle name="??A?_laroux_1_¢¬???¢â? " xfId="16"/>
    <cellStyle name="?¡±¢¥?_?¨ù??¢´¢¥_¢¬???¢â? " xfId="17"/>
    <cellStyle name="_x0001_?¶æµ_x001b_ºß­ " xfId="18"/>
    <cellStyle name="_Book1" xfId="104"/>
    <cellStyle name="_x0001__KL cong tron " xfId="19"/>
    <cellStyle name="_x0001_¨c^ " xfId="20"/>
    <cellStyle name="_x0001_¨Œc^ " xfId="21"/>
    <cellStyle name="_x0001_µÑTÖ " xfId="22"/>
    <cellStyle name="0,0_x000d__x000a_NA_x000d__x000a_ 2" xfId="105"/>
    <cellStyle name="1" xfId="106"/>
    <cellStyle name="1_Arial_16" xfId="107"/>
    <cellStyle name="1_caukm24+802 (2 NHIP 33M) " xfId="23"/>
    <cellStyle name="1_Copy of khoi luong 1nhips1 " xfId="24"/>
    <cellStyle name="1_Du toan Cang Vung Ang ngay 09-8-06 " xfId="25"/>
    <cellStyle name="1_Gia_VLQL48_duyet " xfId="26"/>
    <cellStyle name="1_kl cau NAM KE " xfId="27"/>
    <cellStyle name="12" xfId="108"/>
    <cellStyle name="¹éºÐÀ²_      " xfId="28"/>
    <cellStyle name="2" xfId="109"/>
    <cellStyle name="2_Du toan Cang Vung Ang ngay 09-8-06 " xfId="29"/>
    <cellStyle name="2_Gia_VLQL48_duyet " xfId="30"/>
    <cellStyle name="3" xfId="110"/>
    <cellStyle name="3_Du toan Cang Vung Ang ngay 09-8-06 " xfId="31"/>
    <cellStyle name="3_Gia_VLQL48_duyet " xfId="32"/>
    <cellStyle name="4" xfId="111"/>
    <cellStyle name="4_Du toan Cang Vung Ang ngay 09-8-06 " xfId="33"/>
    <cellStyle name="4_Gia_VLQL48_duyet " xfId="34"/>
    <cellStyle name="6_KL cong tron " xfId="35"/>
    <cellStyle name="_x0001_Å»_x001e_´ " xfId="36"/>
    <cellStyle name="ÅëÈ­ [0]_      " xfId="37"/>
    <cellStyle name="AeE­ [0]_INQUIRY ¿?¾÷AßAø " xfId="38"/>
    <cellStyle name="ÅëÈ­_      " xfId="39"/>
    <cellStyle name="AeE­_INQUIRY ¿?¾÷AßAø " xfId="40"/>
    <cellStyle name="ÄÞ¸¶ [0]_      " xfId="41"/>
    <cellStyle name="AÞ¸¶ [0]_INQUIRY ¿?¾÷AßAø " xfId="42"/>
    <cellStyle name="ÄÞ¸¶_      " xfId="43"/>
    <cellStyle name="AÞ¸¶_INQUIRY ¿?¾÷AßAø " xfId="44"/>
    <cellStyle name="Bình thường 2" xfId="112"/>
    <cellStyle name="C?AØ_¿?¾÷CoE² " xfId="45"/>
    <cellStyle name="Ç¥ÁØ_      " xfId="46"/>
    <cellStyle name="C￥AØ_¿μ¾÷CoE² " xfId="47"/>
    <cellStyle name="category" xfId="113"/>
    <cellStyle name="Comma" xfId="1" builtinId="3"/>
    <cellStyle name="Comma 10 2 2" xfId="114"/>
    <cellStyle name="Comma 13 4" xfId="49"/>
    <cellStyle name="Comma 13 4 2" xfId="50"/>
    <cellStyle name="Comma 141" xfId="115"/>
    <cellStyle name="Comma 154 4" xfId="116"/>
    <cellStyle name="Comma 2" xfId="3"/>
    <cellStyle name="Comma 2 2" xfId="52"/>
    <cellStyle name="Comma 2 2 2" xfId="53"/>
    <cellStyle name="Comma 2 2 2 2" xfId="119"/>
    <cellStyle name="Comma 2 2 3" xfId="120"/>
    <cellStyle name="Comma 2 2 4" xfId="118"/>
    <cellStyle name="Comma 2 3" xfId="117"/>
    <cellStyle name="Comma 2 4" xfId="51"/>
    <cellStyle name="Comma 22" xfId="54"/>
    <cellStyle name="Comma 22 2" xfId="55"/>
    <cellStyle name="Comma 3" xfId="56"/>
    <cellStyle name="Comma 3 2" xfId="57"/>
    <cellStyle name="Comma 3 2 2" xfId="58"/>
    <cellStyle name="Comma 3 2 3" xfId="122"/>
    <cellStyle name="Comma 3 3" xfId="59"/>
    <cellStyle name="Comma 3 3 2" xfId="60"/>
    <cellStyle name="Comma 3 4" xfId="61"/>
    <cellStyle name="Comma 3 5" xfId="121"/>
    <cellStyle name="Comma 4" xfId="62"/>
    <cellStyle name="Comma 4 2" xfId="123"/>
    <cellStyle name="Comma 4 2 2" xfId="124"/>
    <cellStyle name="Comma 5" xfId="125"/>
    <cellStyle name="Comma 6" xfId="126"/>
    <cellStyle name="Comma 7" xfId="48"/>
    <cellStyle name="Comma 9 5" xfId="127"/>
    <cellStyle name="Comma0" xfId="128"/>
    <cellStyle name="Currency0" xfId="129"/>
    <cellStyle name="Date" xfId="130"/>
    <cellStyle name="Dezimal [0]_Compiling Utility Macros" xfId="131"/>
    <cellStyle name="Dezimal_Compiling Utility Macros" xfId="132"/>
    <cellStyle name="_x0001_dÏÈ¹ " xfId="63"/>
    <cellStyle name="eeee" xfId="133"/>
    <cellStyle name="Fixed" xfId="134"/>
    <cellStyle name="Font Britannic16" xfId="135"/>
    <cellStyle name="Font Britannic18" xfId="136"/>
    <cellStyle name="Font CenturyCond 18" xfId="137"/>
    <cellStyle name="Font Cond20" xfId="138"/>
    <cellStyle name="Font Lucida sans16" xfId="139"/>
    <cellStyle name="Font LucidaSans16" xfId="140"/>
    <cellStyle name="Font NewCenturyCond18" xfId="141"/>
    <cellStyle name="Font Ottawa14" xfId="142"/>
    <cellStyle name="Font Ottawa16" xfId="143"/>
    <cellStyle name="GiaVTNumber" xfId="144"/>
    <cellStyle name="Grey" xfId="145"/>
    <cellStyle name="HEADER" xfId="146"/>
    <cellStyle name="Header1" xfId="147"/>
    <cellStyle name="Header2" xfId="148"/>
    <cellStyle name="_x0001_íå_x001b_ô " xfId="64"/>
    <cellStyle name="Input [yellow]" xfId="149"/>
    <cellStyle name="Milliers [0]_      " xfId="65"/>
    <cellStyle name="Milliers_      " xfId="66"/>
    <cellStyle name="Model" xfId="150"/>
    <cellStyle name="Monétaire [0]_      " xfId="67"/>
    <cellStyle name="Monétaire_      " xfId="68"/>
    <cellStyle name="n" xfId="151"/>
    <cellStyle name="Normal" xfId="0" builtinId="0"/>
    <cellStyle name="Normal - Style1" xfId="152"/>
    <cellStyle name="Normal 10" xfId="69"/>
    <cellStyle name="Normal 10 2" xfId="153"/>
    <cellStyle name="Normal 11" xfId="70"/>
    <cellStyle name="Normal 11 2" xfId="154"/>
    <cellStyle name="Normal 12" xfId="99"/>
    <cellStyle name="Normal 13" xfId="175"/>
    <cellStyle name="Normal 14" xfId="214"/>
    <cellStyle name="Normal 147" xfId="155"/>
    <cellStyle name="Normal 15" xfId="156"/>
    <cellStyle name="Normal 151" xfId="157"/>
    <cellStyle name="Normal 158 2" xfId="158"/>
    <cellStyle name="Normal 16" xfId="6"/>
    <cellStyle name="Normal 17" xfId="215"/>
    <cellStyle name="Normal 17 3" xfId="71"/>
    <cellStyle name="Normal 18" xfId="220"/>
    <cellStyle name="Normal 19" xfId="221"/>
    <cellStyle name="Normal 2" xfId="4"/>
    <cellStyle name="Normal 2 2" xfId="73"/>
    <cellStyle name="Normal 2 2 2" xfId="74"/>
    <cellStyle name="Normal 2 2 2 2" xfId="161"/>
    <cellStyle name="Normal 2 2 2 2 2" xfId="162"/>
    <cellStyle name="Normal 2 2 2 3" xfId="163"/>
    <cellStyle name="Normal 2 2 3" xfId="160"/>
    <cellStyle name="Normal 2 3" xfId="75"/>
    <cellStyle name="Normal 2 3 2" xfId="76"/>
    <cellStyle name="Normal 2 3 2 2" xfId="77"/>
    <cellStyle name="Normal 2 4" xfId="78"/>
    <cellStyle name="Normal 2 5" xfId="159"/>
    <cellStyle name="Normal 2 6" xfId="72"/>
    <cellStyle name="Normal 2 6 2" xfId="164"/>
    <cellStyle name="Normal 20" xfId="222"/>
    <cellStyle name="Normal 260" xfId="165"/>
    <cellStyle name="Normal 3" xfId="79"/>
    <cellStyle name="Normal 3 2" xfId="80"/>
    <cellStyle name="Normal 3 2 2" xfId="167"/>
    <cellStyle name="Normal 3 3" xfId="81"/>
    <cellStyle name="Normal 3 3 2" xfId="168"/>
    <cellStyle name="Normal 3 4" xfId="166"/>
    <cellStyle name="Normal 3 7" xfId="169"/>
    <cellStyle name="Normal 31" xfId="170"/>
    <cellStyle name="Normal 33" xfId="82"/>
    <cellStyle name="Normal 37" xfId="83"/>
    <cellStyle name="Normal 4" xfId="84"/>
    <cellStyle name="Normal 4 2" xfId="85"/>
    <cellStyle name="Normal 4 3" xfId="86"/>
    <cellStyle name="Normal 4 4" xfId="171"/>
    <cellStyle name="Normal 5" xfId="87"/>
    <cellStyle name="Normal 5 2" xfId="172"/>
    <cellStyle name="Normal 6" xfId="88"/>
    <cellStyle name="Normal 6 2" xfId="173"/>
    <cellStyle name="Normal 7" xfId="89"/>
    <cellStyle name="Normal 7 2" xfId="90"/>
    <cellStyle name="Normal 7 3" xfId="174"/>
    <cellStyle name="Normal 77 2" xfId="91"/>
    <cellStyle name="Normal 8" xfId="92"/>
    <cellStyle name="Normal 8 2" xfId="176"/>
    <cellStyle name="Normal 9" xfId="93"/>
    <cellStyle name="Normal 9 2" xfId="94"/>
    <cellStyle name="Normal 9 3" xfId="177"/>
    <cellStyle name="Normal_Chi phi van hanh BH ver3" xfId="5"/>
    <cellStyle name="Normal_Sheet1" xfId="223"/>
    <cellStyle name="Normal_Sheet2" xfId="224"/>
    <cellStyle name="Normal1" xfId="178"/>
    <cellStyle name="NormalText" xfId="179"/>
    <cellStyle name="Percent" xfId="2" builtinId="5"/>
    <cellStyle name="Percent [2]" xfId="180"/>
    <cellStyle name="Percent 2" xfId="181"/>
    <cellStyle name="Percent 3" xfId="182"/>
    <cellStyle name="Percent 4" xfId="95"/>
    <cellStyle name="Percent 5" xfId="216"/>
    <cellStyle name="Percent 6" xfId="219"/>
    <cellStyle name="Percent 7" xfId="217"/>
    <cellStyle name="Percent 8" xfId="218"/>
    <cellStyle name="Siêu nối kết_Tien do XD ke hoach 2005 Cv858-KHDT" xfId="183"/>
    <cellStyle name="Standard_Anpassen der Amortisation" xfId="184"/>
    <cellStyle name="Style 1" xfId="185"/>
    <cellStyle name="style_1" xfId="186"/>
    <cellStyle name="subhead" xfId="187"/>
    <cellStyle name="T" xfId="188"/>
    <cellStyle name="th" xfId="189"/>
    <cellStyle name="Tuan" xfId="190"/>
    <cellStyle name="UnitText" xfId="191"/>
    <cellStyle name="viet" xfId="192"/>
    <cellStyle name="viet2" xfId="193"/>
    <cellStyle name="Währung [0]_Compiling Utility Macros" xfId="194"/>
    <cellStyle name="Währung_Compiling Utility Macros" xfId="195"/>
    <cellStyle name=" [0.00]_ Att. 1- Cover" xfId="196"/>
    <cellStyle name="_ Att. 1- Cover" xfId="197"/>
    <cellStyle name="?_ Att. 1- Cover" xfId="198"/>
    <cellStyle name="똿뗦먛귟 [0.00]_PRODUCT DETAIL Q1" xfId="199"/>
    <cellStyle name="똿뗦먛귟_PRODUCT DETAIL Q1" xfId="200"/>
    <cellStyle name="믅됞 [0.00]_PRODUCT DETAIL Q1" xfId="201"/>
    <cellStyle name="믅됞_PRODUCT DETAIL Q1" xfId="202"/>
    <cellStyle name="백분율_95" xfId="203"/>
    <cellStyle name="뷭?_BOOKSHIP" xfId="204"/>
    <cellStyle name="콤마 [0]_ 비목별 월별기술 " xfId="96"/>
    <cellStyle name="콤마_ 비목별 월별기술 " xfId="97"/>
    <cellStyle name="통화 [0]_1202" xfId="205"/>
    <cellStyle name="통화_1202" xfId="206"/>
    <cellStyle name="표준_(정보부문)월별인원계획" xfId="207"/>
    <cellStyle name="一般_00Q3902REV.1" xfId="208"/>
    <cellStyle name="千分位[0]_00Q3902REV.1" xfId="209"/>
    <cellStyle name="千分位_00Q3902REV.1" xfId="210"/>
    <cellStyle name="標準_(A1)BOQ " xfId="98"/>
    <cellStyle name="貨幣 [0]_00Q3902REV.1" xfId="211"/>
    <cellStyle name="貨幣[0]_BRE" xfId="212"/>
    <cellStyle name="貨幣_00Q3902REV.1" xfId="2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13</xdr:col>
      <xdr:colOff>561340</xdr:colOff>
      <xdr:row>10</xdr:row>
      <xdr:rowOff>2925127</xdr:rowOff>
    </xdr:from>
    <xdr:to>
      <xdr:col>13</xdr:col>
      <xdr:colOff>561340</xdr:colOff>
      <xdr:row>10</xdr:row>
      <xdr:rowOff>3096577</xdr:rowOff>
    </xdr:to>
    <xdr:sp macro="" textlink="">
      <xdr:nvSpPr>
        <xdr:cNvPr id="2" name="TextBox 1">
          <a:extLst>
            <a:ext uri="{FF2B5EF4-FFF2-40B4-BE49-F238E27FC236}">
              <a16:creationId xmlns:a16="http://schemas.microsoft.com/office/drawing/2014/main" id="{3F81B9DF-B3D8-9EB7-CFAE-876E7DD69AD1}"/>
            </a:ext>
          </a:extLst>
        </xdr:cNvPr>
        <xdr:cNvSpPr txBox="1">
          <a:spLocks noChangeArrowheads="1"/>
        </xdr:cNvSpPr>
      </xdr:nvSpPr>
      <xdr:spPr bwMode="auto">
        <a:xfrm>
          <a:off x="7933690" y="683514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none" lIns="0" tIns="0" rIns="0" bIns="0" anchor="t" anchorCtr="0" upright="1">
          <a:spAutoFit/>
        </a:bodyPr>
        <a:lstStyle/>
        <a:p>
          <a:endParaRPr lang="vi-VN"/>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561340</xdr:colOff>
      <xdr:row>10</xdr:row>
      <xdr:rowOff>2925127</xdr:rowOff>
    </xdr:from>
    <xdr:to>
      <xdr:col>13</xdr:col>
      <xdr:colOff>561340</xdr:colOff>
      <xdr:row>10</xdr:row>
      <xdr:rowOff>3096577</xdr:rowOff>
    </xdr:to>
    <xdr:sp macro="" textlink="">
      <xdr:nvSpPr>
        <xdr:cNvPr id="2" name="TextBox 1">
          <a:extLst>
            <a:ext uri="{FF2B5EF4-FFF2-40B4-BE49-F238E27FC236}">
              <a16:creationId xmlns:a16="http://schemas.microsoft.com/office/drawing/2014/main" id="{3F81B9DF-B3D8-9EB7-CFAE-876E7DD69AD1}"/>
            </a:ext>
          </a:extLst>
        </xdr:cNvPr>
        <xdr:cNvSpPr txBox="1">
          <a:spLocks noChangeArrowheads="1"/>
        </xdr:cNvSpPr>
      </xdr:nvSpPr>
      <xdr:spPr bwMode="auto">
        <a:xfrm>
          <a:off x="16010890" y="335375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none" lIns="0" tIns="0" rIns="0" bIns="0" anchor="t" anchorCtr="0" upright="1">
          <a:spAutoFit/>
        </a:bodyPr>
        <a:lstStyle/>
        <a:p>
          <a:endParaRPr lang="vi-VN"/>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g%20viec\21.%20DM%20Don%20gia%20Long%20My%20-%20Binh%20Dinh\001.%20Du%20an%20nuoc%20Ri%20rac%20Long%20My\bao%20cao%20SXD\02.%20PAG%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ng%20viec\44.%20hoc%20rac%20so%207%20-\PAG%20HR%207%20Gui%20SNNMT\&#272;&#7855;p%20&#273;&#7845;t%20ph&#7911;_HR7%20(ok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ung%20KHTC/A/Dorothy/C&#244;ng%20ty%20M&#244;i%20tr&#432;&#7901;ng/Gi&#225;%20h&#7897;c%20r&#225;c%20s&#7889;%207/5.%20Th&#7849;m%20&#273;&#7883;nh%20gi&#225;/3.%20BQL%20tr&#236;nh%20l&#7847;n%204/20260116.PAG-hoc%20rac%20so%207/20260115_BANG%20PAG%20HR7.SauthamdinhVer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ung%20KHTC/A/Dorothy/C&#244;ng%20ty%20M&#244;i%20tr&#432;&#7901;ng/Gi&#225;%20h&#7897;c%20r&#225;c%20s&#7889;%207/5.%20Th&#7849;m%20&#273;&#7883;nh%20gi&#225;/3.%20BQL%20tr&#236;nh%20l&#7847;n%204/20260116.PAG-hoc%20rac%20so%207/&#272;&#7855;p%20&#273;&#7845;t%20ph&#7911;_HR7%20(oke)-2026.01.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ung%20KHTC/A/Dorothy/C&#225;c%20S&#7903;%20l&#7845;y%20&#253;%20ki&#7871;n/STC/Gi&#225;%20x&#7917;%20l&#253;%20CTR%20b&#227;i%20r&#225;c%20KS%20c&#243;%20LV2100/STC%20tham%20dinh/STC%20tham%20dinh%20lan%201/(H)%20GIA%20XU%20LY%20NAM%202021-73.623%20dong%20FINAL%2024.11.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ung%20KHTC/A/Dorothy/C&#225;c%20S&#7903;%20l&#7845;y%20&#253;%20ki&#7871;n/STC/Gi&#225;%20r&#225;c%20t&#7841;i%20d&#7921;%20&#225;n%20n&#226;ng%20c&#7845;p/Th&#225;ng%2002.2023%20(gi&#225;%20ch&#237;nh%20th&#7913;c)/Ch&#7883;%20B&#237;ch%20b&#7843;o%20ki&#7875;m%20tra%20gi&#249;m/TINH%20TOAN%20KHAU%20HAO%20(27.2.20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ung%20KHTC/A/Dorothy/C&#244;ng%20ty%20M&#244;i%20tr&#432;&#7901;ng/Gi&#225;%20h&#7897;c%20r&#225;c%20s&#7889;%207/5.%20Th&#7849;m%20&#273;&#7883;nh%20gi&#225;/3.%20BQL%20tr&#236;nh%20l&#7847;n%204/Hoc%20Chua%20Rac%2024.02.2025%20-Tham%20Dinh_FINAL/Tap%202.3%20Cap%20dien%20va%20Chieu%20Sang/2.3.c%20DTOAN%20CSVH%20BAI%20RAC%20-%2020.02.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sheetName val="Dự thầu"/>
      <sheetName val="Chiết tính"/>
      <sheetName val="HaoPhiVatTu"/>
      <sheetName val="Tổng hợp VT"/>
      <sheetName val="Công trình"/>
      <sheetName val="Giá tháng"/>
      <sheetName val="Đầu vào"/>
      <sheetName val="Nhân công"/>
      <sheetName val="Máy"/>
      <sheetName val="THVT gộp"/>
      <sheetName val="Cước VC"/>
      <sheetName val="Cước bộ"/>
      <sheetName val="Đơn giá chi tiết"/>
      <sheetName val="Giá tổng hợp"/>
      <sheetName val="THKP hạng mục"/>
      <sheetName val="TH chi phí XD"/>
      <sheetName val="TH chi phí TB"/>
      <sheetName val="HM chung"/>
      <sheetName val="Dự phòng"/>
      <sheetName val="TH kinh phí"/>
      <sheetName val="Chi tiết KL"/>
      <sheetName val="Luật XD"/>
      <sheetName val="Công trình TL"/>
      <sheetName val="Hệ số"/>
      <sheetName val="Đơn giá TH"/>
      <sheetName val="HM chung thầu"/>
      <sheetName val="Dự phòng thầu"/>
      <sheetName val="Dự toán gói thầu"/>
      <sheetName val="Phân tích VT"/>
      <sheetName val="Bìa"/>
      <sheetName val="NhiênLiệu"/>
      <sheetName val="Thẩm định"/>
      <sheetName val="TH chi phí tư vấn"/>
      <sheetName val="Thép"/>
      <sheetName val="HSXL"/>
      <sheetName val="Định mức tư vấn"/>
      <sheetName val="Quyết toán"/>
      <sheetName val="Giá tháng QT"/>
      <sheetName val="Đầu vào QT"/>
      <sheetName val="Nhân công QT"/>
      <sheetName val="Máy QT"/>
      <sheetName val="HaoPhiVatTu QT"/>
      <sheetName val="Tổng hợp VT QT"/>
      <sheetName val="Cước VC QT"/>
      <sheetName val="Cước bộ QT"/>
      <sheetName val="NhiênLiệu QT"/>
      <sheetName val="Chiết tính QT"/>
      <sheetName val="Dự thầu QT"/>
      <sheetName val="Hệ số QT"/>
      <sheetName val="HSXLQT"/>
      <sheetName val="KL hoàn thành"/>
      <sheetName val="KL phát sinh"/>
      <sheetName val="Hệ số Pn"/>
      <sheetName val="Tổng hợp QT"/>
      <sheetName val="Cấu hình"/>
    </sheetNames>
    <sheetDataSet>
      <sheetData sheetId="0"/>
      <sheetData sheetId="1"/>
      <sheetData sheetId="2"/>
      <sheetData sheetId="3"/>
      <sheetData sheetId="4"/>
      <sheetData sheetId="5">
        <row r="1">
          <cell r="AM1" t="str">
            <v>(đ)</v>
          </cell>
        </row>
        <row r="7">
          <cell r="A7">
            <v>1</v>
          </cell>
        </row>
      </sheetData>
      <sheetData sheetId="6"/>
      <sheetData sheetId="7">
        <row r="5">
          <cell r="D5">
            <v>0</v>
          </cell>
        </row>
        <row r="6">
          <cell r="D6">
            <v>2340000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ông trình"/>
      <sheetName val="Giá tháng"/>
      <sheetName val="Đầu vào"/>
      <sheetName val="Nhân công"/>
      <sheetName val="Máy"/>
      <sheetName val="HaoPhiVatTu"/>
      <sheetName val="Tổng hợp VT"/>
      <sheetName val="THVT gộp"/>
      <sheetName val="Cước VC"/>
      <sheetName val="Cước bộ"/>
      <sheetName val="Đơn giá chi tiết"/>
      <sheetName val="Giá tổng hợp"/>
      <sheetName val="THKP hạng mục"/>
      <sheetName val="TH chi phí XD"/>
      <sheetName val="TH chi phí TB"/>
      <sheetName val="HM chung"/>
      <sheetName val="Dự phòng"/>
      <sheetName val="TH kinh phí"/>
      <sheetName val="Chi tiết KL"/>
      <sheetName val="Luật XD"/>
      <sheetName val="Công trình TL"/>
      <sheetName val="Chiết tính"/>
      <sheetName val="Hệ số"/>
      <sheetName val="Đơn giá TH"/>
      <sheetName val="Dự thầu"/>
      <sheetName val="HM chung thầu"/>
      <sheetName val="Dự phòng thầu"/>
      <sheetName val="Dự toán gói thầu"/>
      <sheetName val="Phân tích VT"/>
      <sheetName val="Bìa"/>
      <sheetName val="NhiênLiệu"/>
      <sheetName val="Thẩm định"/>
      <sheetName val="TH chi phí tư vấn"/>
      <sheetName val="Thép"/>
      <sheetName val="HSXL"/>
      <sheetName val="Định mức tư vấn"/>
      <sheetName val="Quyết toán"/>
      <sheetName val="Giá tháng QT"/>
      <sheetName val="Đầu vào QT"/>
      <sheetName val="Nhân công QT"/>
      <sheetName val="Máy QT"/>
      <sheetName val="HaoPhiVatTu QT"/>
      <sheetName val="Tổng hợp VT QT"/>
      <sheetName val="Cước VC QT"/>
      <sheetName val="Cước bộ QT"/>
      <sheetName val="NhiênLiệu QT"/>
      <sheetName val="Chiết tính QT"/>
      <sheetName val="Dự thầu QT"/>
      <sheetName val="Hệ số QT"/>
      <sheetName val="HSXLQT"/>
      <sheetName val="KL hoàn thành"/>
      <sheetName val="KL phát sinh"/>
      <sheetName val="Hệ số Pn"/>
      <sheetName val="Tổng hợp QT"/>
      <sheetName val="Cấu hì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6">
          <cell r="I16">
            <v>71979.752985878964</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 val="TH"/>
      <sheetName val="Bang 01. VL"/>
      <sheetName val="01.01.hoa chat"/>
      <sheetName val="01.01.a.Bao gia"/>
      <sheetName val="01.02. NL"/>
      <sheetName val="01.02.a. gia dien"/>
      <sheetName val="01.03. CCDC"/>
      <sheetName val="01.03.a Gia CCDC"/>
      <sheetName val="02.Nhan cong"/>
      <sheetName val="02.a.Gia Nhan cong"/>
      <sheetName val="03. May"/>
      <sheetName val="03.a.May"/>
      <sheetName val="04.Chi phí SXC"/>
      <sheetName val="bang 5"/>
      <sheetName val="Bang 6. Khau hao"/>
      <sheetName val="Danh muc DM"/>
      <sheetName val="bang46"/>
      <sheetName val="bang47"/>
      <sheetName val="bang48"/>
      <sheetName val="bang49"/>
      <sheetName val="bang50"/>
      <sheetName val="bang51"/>
    </sheetNames>
    <sheetDataSet>
      <sheetData sheetId="0"/>
      <sheetData sheetId="1"/>
      <sheetData sheetId="2"/>
      <sheetData sheetId="3">
        <row r="12">
          <cell r="H12">
            <v>52376.371133636108</v>
          </cell>
        </row>
      </sheetData>
      <sheetData sheetId="4"/>
      <sheetData sheetId="5"/>
      <sheetData sheetId="6"/>
      <sheetData sheetId="7"/>
      <sheetData sheetId="8">
        <row r="18">
          <cell r="E18">
            <v>1526070</v>
          </cell>
        </row>
        <row r="19">
          <cell r="E19">
            <v>273000</v>
          </cell>
        </row>
        <row r="20">
          <cell r="E20">
            <v>1526070</v>
          </cell>
        </row>
        <row r="21">
          <cell r="E21">
            <v>7800000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ông trình"/>
      <sheetName val="Giá tháng"/>
      <sheetName val="Đầu vào"/>
      <sheetName val="Nhân công"/>
      <sheetName val="Máy"/>
      <sheetName val="Tổng hợp VT"/>
      <sheetName val="THVT gộp"/>
      <sheetName val="Cước VC"/>
      <sheetName val="Cước bộ"/>
      <sheetName val="Đơn giá chi tiết"/>
      <sheetName val="Giá tổng hợp"/>
      <sheetName val="THKP hạng mục"/>
      <sheetName val="TH chi phí XD"/>
      <sheetName val="TH chi phí TB"/>
      <sheetName val="HM chung"/>
      <sheetName val="Dự phòng"/>
      <sheetName val="TH kinh phí"/>
      <sheetName val="Chi tiết KL"/>
      <sheetName val="Luật XD"/>
      <sheetName val="Công trình TL"/>
      <sheetName val="HaoPhiVatTu"/>
      <sheetName val="Chiết tính"/>
      <sheetName val="Hệ số"/>
      <sheetName val="Đơn giá TH"/>
      <sheetName val="Dự thầu"/>
      <sheetName val="HM chung thầu"/>
      <sheetName val="Dự phòng thầu"/>
      <sheetName val="Dự toán gói thầu"/>
      <sheetName val="Phân tích VT"/>
      <sheetName val="Bìa"/>
      <sheetName val="NhiênLiệu"/>
      <sheetName val="Thẩm định"/>
      <sheetName val="TH chi phí tư vấn"/>
      <sheetName val="Thép"/>
      <sheetName val="HSXL"/>
      <sheetName val="Định mức tư vấn"/>
      <sheetName val="Quyết toán"/>
      <sheetName val="Giá tháng QT"/>
      <sheetName val="Đầu vào QT"/>
      <sheetName val="Nhân công QT"/>
      <sheetName val="Máy QT"/>
      <sheetName val="HaoPhiVatTu QT"/>
      <sheetName val="Tổng hợp VT QT"/>
      <sheetName val="Cước VC QT"/>
      <sheetName val="Cước bộ QT"/>
      <sheetName val="NhiênLiệu QT"/>
      <sheetName val="Chiết tính QT"/>
      <sheetName val="Dự thầu QT"/>
      <sheetName val="Hệ số QT"/>
      <sheetName val="HSXLQT"/>
      <sheetName val="KL hoàn thành"/>
      <sheetName val="KL phát sinh"/>
      <sheetName val="Hệ số Pn"/>
      <sheetName val="Tổng hợp QT"/>
      <sheetName val="Cấu hình"/>
    </sheetNames>
    <sheetDataSet>
      <sheetData sheetId="0">
        <row r="7">
          <cell r="A7">
            <v>1</v>
          </cell>
          <cell r="E7" t="str">
            <v>AB.24132</v>
          </cell>
          <cell r="F7" t="str">
            <v>Đào xúc đất bằng máy đào 1,25m3, đất cấp II (Khoảng cách bãi tạm 1,4km)</v>
          </cell>
          <cell r="G7" t="str">
            <v>100m3</v>
          </cell>
          <cell r="P7">
            <v>331.358</v>
          </cell>
        </row>
        <row r="8">
          <cell r="A8">
            <v>2</v>
          </cell>
          <cell r="E8" t="str">
            <v>AB.41432</v>
          </cell>
          <cell r="F8" t="str">
            <v>Vận chuyển đất bằng ôtô tự đổ 10 tấn trong phạm vi &lt;= 1000m, đất cấp II</v>
          </cell>
          <cell r="G8" t="str">
            <v>100m3</v>
          </cell>
          <cell r="P8">
            <v>331.358</v>
          </cell>
        </row>
        <row r="9">
          <cell r="A9">
            <v>3</v>
          </cell>
          <cell r="E9" t="str">
            <v>AB.42132</v>
          </cell>
          <cell r="F9" t="str">
            <v>Vận chuyển đất bằng ô tô tự đổ 10T 1km tiếp theo trong phạm vi 0,4km, đất cấp II</v>
          </cell>
          <cell r="G9" t="str">
            <v>100m3</v>
          </cell>
          <cell r="P9">
            <v>331.358</v>
          </cell>
        </row>
        <row r="10">
          <cell r="A10">
            <v>4</v>
          </cell>
          <cell r="E10" t="str">
            <v>AB.24132</v>
          </cell>
          <cell r="F10" t="str">
            <v>Đào xúc đất bằng máy đào 1,25m3, đất cấp II (Khoảng cách bãi tạm 5,3km)</v>
          </cell>
          <cell r="G10" t="str">
            <v>100m3</v>
          </cell>
          <cell r="P10">
            <v>519.0376647999999</v>
          </cell>
        </row>
        <row r="11">
          <cell r="A11">
            <v>5</v>
          </cell>
          <cell r="E11" t="str">
            <v>AB.41432</v>
          </cell>
          <cell r="F11" t="str">
            <v>Vận chuyển đất bằng ôtô tự đổ 10 tấn trong phạm vi &lt;= 1000m, đất cấp II</v>
          </cell>
          <cell r="G11" t="str">
            <v>100m3</v>
          </cell>
          <cell r="P11">
            <v>519.0376647999999</v>
          </cell>
        </row>
        <row r="12">
          <cell r="A12">
            <v>6</v>
          </cell>
          <cell r="E12" t="str">
            <v>AB.42132</v>
          </cell>
          <cell r="F12" t="str">
            <v>Vận chuyển đất bằng ô tô tự đổ 10T 4km tiếp theo trong phạm vi &lt;= 5km, đất cấp II</v>
          </cell>
          <cell r="G12" t="str">
            <v>100m3</v>
          </cell>
          <cell r="P12">
            <v>519.0376647999999</v>
          </cell>
        </row>
        <row r="13">
          <cell r="E13" t="str">
            <v>AB.42232</v>
          </cell>
          <cell r="F13" t="str">
            <v>Vận chuyển đất bằng ô tô tự đổ 10T 0,3km tiếp theo ngoài phạm vi 5km, đất cấp II</v>
          </cell>
          <cell r="G13" t="str">
            <v>100m3</v>
          </cell>
          <cell r="P13">
            <v>519.0376647999999</v>
          </cell>
        </row>
      </sheetData>
      <sheetData sheetId="1">
        <row r="6">
          <cell r="B6" t="str">
            <v>N1.30</v>
          </cell>
          <cell r="C6" t="str">
            <v>Nhân công 3,0/7 - Nhóm 1</v>
          </cell>
          <cell r="D6" t="str">
            <v>công</v>
          </cell>
          <cell r="G6">
            <v>1</v>
          </cell>
        </row>
        <row r="8">
          <cell r="B8" t="str">
            <v>M101.0105</v>
          </cell>
          <cell r="C8" t="str">
            <v>Máy đào một gầu, bánh xích - dung tích gầu : 1,25 m3</v>
          </cell>
          <cell r="D8" t="str">
            <v>ca</v>
          </cell>
          <cell r="G8">
            <v>1</v>
          </cell>
        </row>
        <row r="10">
          <cell r="B10" t="str">
            <v>M101.0503</v>
          </cell>
          <cell r="C10" t="str">
            <v>Máy ủi - công suất : 110,0 CV</v>
          </cell>
          <cell r="D10" t="str">
            <v>ca</v>
          </cell>
          <cell r="G10">
            <v>1</v>
          </cell>
        </row>
        <row r="11">
          <cell r="B11" t="str">
            <v>M106.0204</v>
          </cell>
          <cell r="C11" t="str">
            <v>Ô tô tự đổ - trọng tải : 10,0 T</v>
          </cell>
          <cell r="D11" t="str">
            <v>ca</v>
          </cell>
          <cell r="G11">
            <v>1</v>
          </cell>
        </row>
      </sheetData>
      <sheetData sheetId="2" refreshError="1"/>
      <sheetData sheetId="3" refreshError="1"/>
      <sheetData sheetId="4" refreshError="1"/>
      <sheetData sheetId="5">
        <row r="6">
          <cell r="O6">
            <v>248280</v>
          </cell>
        </row>
        <row r="9">
          <cell r="O9">
            <v>3630991</v>
          </cell>
        </row>
        <row r="11">
          <cell r="O11">
            <v>1904923</v>
          </cell>
        </row>
        <row r="12">
          <cell r="O12">
            <v>2095169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
          <cell r="F8">
            <v>0.47</v>
          </cell>
        </row>
        <row r="10">
          <cell r="F10">
            <v>0.19800000000000001</v>
          </cell>
        </row>
        <row r="11">
          <cell r="F11">
            <v>2.7E-2</v>
          </cell>
        </row>
        <row r="14">
          <cell r="F14">
            <v>0.76900000000000002</v>
          </cell>
        </row>
        <row r="17">
          <cell r="F17">
            <v>0.29399999999999998</v>
          </cell>
        </row>
        <row r="23">
          <cell r="F23">
            <v>0.47</v>
          </cell>
        </row>
        <row r="25">
          <cell r="F25">
            <v>0.19800000000000001</v>
          </cell>
        </row>
        <row r="26">
          <cell r="F26">
            <v>2.7E-2</v>
          </cell>
        </row>
        <row r="29">
          <cell r="F29">
            <v>0.76900000000000002</v>
          </cell>
        </row>
        <row r="32">
          <cell r="F32">
            <v>0.29399999999999998</v>
          </cell>
        </row>
        <row r="35">
          <cell r="F35">
            <v>0.23599999999999999</v>
          </cell>
        </row>
      </sheetData>
      <sheetData sheetId="21">
        <row r="21">
          <cell r="H21">
            <v>1109215.1216492362</v>
          </cell>
        </row>
        <row r="34">
          <cell r="H34">
            <v>2014688.108651639</v>
          </cell>
        </row>
        <row r="47">
          <cell r="H47">
            <v>308097.94743489299</v>
          </cell>
        </row>
        <row r="64">
          <cell r="H64">
            <v>1109215.1216492362</v>
          </cell>
        </row>
        <row r="77">
          <cell r="H77">
            <v>2014688.108651639</v>
          </cell>
        </row>
        <row r="90">
          <cell r="H90">
            <v>3080979.4743489302</v>
          </cell>
        </row>
        <row r="103">
          <cell r="H103">
            <v>185487.53978223147</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3">
          <cell r="C13" t="str">
            <v>2%</v>
          </cell>
          <cell r="D13">
            <v>0.02</v>
          </cell>
        </row>
        <row r="14">
          <cell r="C14" t="str">
            <v>4,8%</v>
          </cell>
          <cell r="D14">
            <v>4.8000000000000001E-2</v>
          </cell>
        </row>
        <row r="16">
          <cell r="C16" t="str">
            <v>5,5%</v>
          </cell>
          <cell r="D16">
            <v>5.5E-2</v>
          </cell>
        </row>
        <row r="17">
          <cell r="C17" t="str">
            <v>10%</v>
          </cell>
          <cell r="D17">
            <v>0.1</v>
          </cell>
        </row>
        <row r="18">
          <cell r="C18" t="str">
            <v>0,95%</v>
          </cell>
          <cell r="D18">
            <v>9.4999999999999998E-3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PL1-MUC THU GIA"/>
      <sheetName val="PL1-TONG CONG"/>
      <sheetName val="PL1-TH"/>
      <sheetName val="PL2-ĐM&amp;ĐG vat tu"/>
      <sheetName val="PL3-ĐM&amp;ĐG nhân công"/>
      <sheetName val="PL4-ĐM&amp;ĐG may"/>
      <sheetName val="PL5-ĐM&amp;ĐG SXC"/>
      <sheetName val="PL3-TH thu tienn"/>
      <sheetName val="don gia nv thu tien"/>
      <sheetName val="00000000"/>
      <sheetName val="XXXXXXXX"/>
      <sheetName val="PL6-MAY"/>
      <sheetName val="PL7-NHAN CONG"/>
      <sheetName val="PL8-KL rac thai du kien"/>
      <sheetName val="PL9-GIA TRI BR"/>
      <sheetName val="PL10-QTMT"/>
      <sheetName val="PL11-KHAU HAO 2018,19,20"/>
    </sheetNames>
    <sheetDataSet>
      <sheetData sheetId="0" refreshError="1"/>
      <sheetData sheetId="1" refreshError="1"/>
      <sheetData sheetId="2" refreshError="1"/>
      <sheetData sheetId="3" refreshError="1"/>
      <sheetData sheetId="4">
        <row r="6">
          <cell r="C6" t="str">
            <v>Nội dung chi phí</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PL1-MUC THU GIA"/>
      <sheetName val="PL1-TONG CONG"/>
      <sheetName val="TONG HOP CP KHAU HAO "/>
      <sheetName val="PL1.2-Dự án"/>
      <sheetName val="Sheet3"/>
      <sheetName val="PL2-ĐM&amp;ĐG vật tư"/>
      <sheetName val="PL3-ĐM&amp;ĐG nhân công"/>
      <sheetName val="PL4-ĐG NHÂN CÔNG"/>
      <sheetName val="PL5.1-ĐM&amp;ĐG máy"/>
      <sheetName val="PL14-CP KHẤU HAO MÁY THI CÔNG"/>
      <sheetName val="PL6.1-CA MÁY THI CONG"/>
      <sheetName val="PL15-KHẤU HAO MÁY THI CÔNG"/>
      <sheetName val="PL7.1-SXC"/>
      <sheetName val="PL16-CP KHAU HAO TSCD"/>
      <sheetName val="PL17-GIÁ TRỊ KH TSCĐ"/>
      <sheetName val="PL8-SXC-THAO BAT"/>
      <sheetName val="PL9-VH Dien"/>
      <sheetName val="PL3-TH thu tienn"/>
      <sheetName val="don gia nv thu tien"/>
      <sheetName val="00000000"/>
      <sheetName val="XXXXXXXX"/>
      <sheetName val="PL8-KL rac thai xử lý"/>
      <sheetName val="PL9-Gia tri TSCD ca DA"/>
      <sheetName val="PL9-Gaia tri TSCD HR6"/>
      <sheetName val="PL9-GIATRI TAI SẢN CỐ ĐỊNH"/>
      <sheetName val="PL11. Giam sảt vận hành"/>
      <sheetName val="Sheet2"/>
      <sheetName val="Sheet1"/>
      <sheetName val="PL10-SXC KHAU HAO"/>
      <sheetName val="PL11-GTTSCĐ BRKS"/>
      <sheetName val="PL10.1 NAO VET"/>
      <sheetName val="PL10.2 ĐG NAO VET"/>
      <sheetName val="PL11.1-CP QTMT"/>
      <sheetName val="luu"/>
      <sheetName val="PL13-CPQLDN"/>
      <sheetName val="PL14-KL rac xu ly"/>
      <sheetName val="CHI TIET"/>
    </sheetNames>
    <sheetDataSet>
      <sheetData sheetId="0" refreshError="1"/>
      <sheetData sheetId="1" refreshError="1"/>
      <sheetData sheetId="2" refreshError="1"/>
      <sheetData sheetId="3" refreshError="1"/>
      <sheetData sheetId="4" refreshError="1"/>
      <sheetData sheetId="5" refreshError="1"/>
      <sheetData sheetId="6">
        <row r="5">
          <cell r="C5" t="str">
            <v>Nội dung chi phí</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22"/>
      <sheetName val="TD 22"/>
      <sheetName val="TBA XDM"/>
      <sheetName val="LDL 22"/>
      <sheetName val="TD 04"/>
      <sheetName val="LDL 04"/>
      <sheetName val="TD Dcs"/>
      <sheetName val="LDL Dcs"/>
      <sheetName val="TH KLCS(GIAO THONG)"/>
      <sheetName val="TH TBA"/>
      <sheetName val="THDT"/>
      <sheetName val="DuToan"/>
      <sheetName val="THDT Dien+CS"/>
      <sheetName val="Thiết bị"/>
      <sheetName val="THXL"/>
      <sheetName val="THCP XDung"/>
      <sheetName val="THCP Đien (GIAO THONG)"/>
      <sheetName val="THCP TDo"/>
      <sheetName val="THCP Đien (VAN HANH)"/>
      <sheetName val="VLNC xdm(GIAO THONG)"/>
      <sheetName val="VLNC TDo"/>
      <sheetName val="TH TNgh"/>
      <sheetName val="TNgh"/>
      <sheetName val="VLNC xdm (VAN HANH)"/>
      <sheetName val="CTiet xdm"/>
      <sheetName val="CTiet TD"/>
      <sheetName val="Giá VT"/>
      <sheetName val="TH KLCS (VAN HANH)"/>
      <sheetName val="DGBT"/>
      <sheetName val="Gia Dien"/>
      <sheetName val="Giá VL (GT)"/>
      <sheetName val="MTC430"/>
      <sheetName val="NC429"/>
      <sheetName val="DM36"/>
      <sheetName val="DM203"/>
      <sheetName val="TT12"/>
      <sheetName val="TT05"/>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8">
          <cell r="H8">
            <v>318834429.54279774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2" zoomScaleNormal="100" workbookViewId="0">
      <selection activeCell="H18" sqref="H18"/>
    </sheetView>
  </sheetViews>
  <sheetFormatPr defaultRowHeight="14.25"/>
  <cols>
    <col min="1" max="1" width="5" customWidth="1"/>
    <col min="2" max="2" width="41.375" customWidth="1"/>
    <col min="3" max="3" width="12.125" customWidth="1"/>
    <col min="5" max="5" width="22.75" customWidth="1"/>
    <col min="6" max="7" width="16.875" customWidth="1"/>
    <col min="8" max="8" width="34.125" customWidth="1"/>
  </cols>
  <sheetData>
    <row r="1" spans="1:10" ht="19.5">
      <c r="A1" s="585" t="s">
        <v>481</v>
      </c>
      <c r="B1" s="585"/>
      <c r="C1" s="585"/>
      <c r="D1" s="585"/>
      <c r="E1" s="585"/>
      <c r="F1" s="585"/>
      <c r="G1" s="585"/>
      <c r="H1" s="585"/>
      <c r="I1" s="2"/>
      <c r="J1" s="2"/>
    </row>
    <row r="2" spans="1:10" ht="56.25" customHeight="1">
      <c r="A2" s="586" t="s">
        <v>500</v>
      </c>
      <c r="B2" s="586"/>
      <c r="C2" s="586"/>
      <c r="D2" s="586"/>
      <c r="E2" s="586"/>
      <c r="F2" s="586"/>
      <c r="G2" s="586"/>
      <c r="H2" s="586"/>
      <c r="I2" s="90"/>
      <c r="J2" s="2"/>
    </row>
    <row r="3" spans="1:10" ht="15.75">
      <c r="F3" s="285"/>
      <c r="G3" s="285"/>
      <c r="H3" s="299" t="s">
        <v>408</v>
      </c>
    </row>
    <row r="4" spans="1:10" ht="15.75">
      <c r="A4" s="589" t="s">
        <v>19</v>
      </c>
      <c r="B4" s="589" t="s">
        <v>44</v>
      </c>
      <c r="C4" s="589" t="s">
        <v>244</v>
      </c>
      <c r="D4" s="589" t="s">
        <v>245</v>
      </c>
      <c r="E4" s="589" t="s">
        <v>45</v>
      </c>
      <c r="F4" s="587" t="s">
        <v>246</v>
      </c>
      <c r="G4" s="588"/>
      <c r="H4" s="589" t="s">
        <v>40</v>
      </c>
    </row>
    <row r="5" spans="1:10" ht="15.75">
      <c r="A5" s="590"/>
      <c r="B5" s="590"/>
      <c r="C5" s="590"/>
      <c r="D5" s="590"/>
      <c r="E5" s="590"/>
      <c r="F5" s="281" t="s">
        <v>349</v>
      </c>
      <c r="G5" s="282" t="s">
        <v>350</v>
      </c>
      <c r="H5" s="590"/>
    </row>
    <row r="6" spans="1:10" s="56" customFormat="1" ht="31.5">
      <c r="A6" s="61" t="s">
        <v>57</v>
      </c>
      <c r="B6" s="62" t="s">
        <v>449</v>
      </c>
      <c r="C6" s="298" t="s">
        <v>144</v>
      </c>
      <c r="D6" s="61" t="s">
        <v>57</v>
      </c>
      <c r="E6" s="61"/>
      <c r="F6" s="294">
        <v>1</v>
      </c>
      <c r="G6" s="294">
        <v>1</v>
      </c>
      <c r="H6" s="288" t="s">
        <v>264</v>
      </c>
    </row>
    <row r="7" spans="1:10" s="56" customFormat="1" ht="31.5">
      <c r="A7" s="61" t="s">
        <v>51</v>
      </c>
      <c r="B7" s="62" t="s">
        <v>448</v>
      </c>
      <c r="C7" s="298" t="s">
        <v>186</v>
      </c>
      <c r="D7" s="61" t="s">
        <v>51</v>
      </c>
      <c r="E7" s="61" t="s">
        <v>450</v>
      </c>
      <c r="F7" s="63">
        <f>SUM(F8:F12)</f>
        <v>59677.800975787191</v>
      </c>
      <c r="G7" s="63">
        <f>SUM(G8:G12)</f>
        <v>57597.796197126088</v>
      </c>
      <c r="H7" s="288"/>
    </row>
    <row r="8" spans="1:10" ht="15.75">
      <c r="A8" s="64">
        <v>1</v>
      </c>
      <c r="B8" s="59" t="s">
        <v>52</v>
      </c>
      <c r="C8" s="298" t="s">
        <v>186</v>
      </c>
      <c r="D8" s="64">
        <v>1</v>
      </c>
      <c r="E8" s="64"/>
      <c r="F8" s="65">
        <f>'II.1 Vat tu'!C10</f>
        <v>28668.818744233387</v>
      </c>
      <c r="G8" s="65">
        <f>'II.1 Vat tu'!D10</f>
        <v>26995.847667400627</v>
      </c>
      <c r="H8" s="295" t="s">
        <v>643</v>
      </c>
    </row>
    <row r="9" spans="1:10" ht="15.75">
      <c r="A9" s="64">
        <v>2</v>
      </c>
      <c r="B9" s="59" t="s">
        <v>55</v>
      </c>
      <c r="C9" s="298" t="s">
        <v>186</v>
      </c>
      <c r="D9" s="64">
        <v>2</v>
      </c>
      <c r="E9" s="64"/>
      <c r="F9" s="65">
        <f>'III. NC'!J20</f>
        <v>15811.348288293337</v>
      </c>
      <c r="G9" s="65">
        <f>'III. NC'!K20</f>
        <v>22517.244779999994</v>
      </c>
      <c r="H9" s="295" t="s">
        <v>451</v>
      </c>
    </row>
    <row r="10" spans="1:10" ht="15.75">
      <c r="A10" s="64">
        <v>3</v>
      </c>
      <c r="B10" s="67" t="s">
        <v>252</v>
      </c>
      <c r="C10" s="300" t="s">
        <v>186</v>
      </c>
      <c r="D10" s="64">
        <v>3</v>
      </c>
      <c r="E10" s="66"/>
      <c r="F10" s="68">
        <f>'V. May'!H22</f>
        <v>7214.6771926534193</v>
      </c>
      <c r="G10" s="68">
        <f>'V. May'!I9</f>
        <v>7276.67274</v>
      </c>
      <c r="H10" s="295" t="s">
        <v>452</v>
      </c>
    </row>
    <row r="11" spans="1:10" ht="15.75">
      <c r="A11" s="64">
        <v>4</v>
      </c>
      <c r="B11" s="59" t="s">
        <v>255</v>
      </c>
      <c r="C11" s="298" t="s">
        <v>186</v>
      </c>
      <c r="D11" s="64">
        <v>4</v>
      </c>
      <c r="E11" s="64"/>
      <c r="F11" s="68">
        <f>'VII.1 Chi phí SXC'!F11</f>
        <v>7982.9567506070416</v>
      </c>
      <c r="G11" s="68">
        <f>'VII.1 Chi phí SXC'!G11</f>
        <v>808.03100972546702</v>
      </c>
      <c r="H11" s="295" t="s">
        <v>673</v>
      </c>
    </row>
    <row r="12" spans="1:10" ht="31.5">
      <c r="A12" s="64">
        <v>5</v>
      </c>
      <c r="B12" s="59" t="s">
        <v>413</v>
      </c>
      <c r="C12" s="298" t="s">
        <v>186</v>
      </c>
      <c r="D12" s="64">
        <v>5</v>
      </c>
      <c r="E12" s="64"/>
      <c r="F12" s="68">
        <v>0</v>
      </c>
      <c r="G12" s="68">
        <v>0</v>
      </c>
      <c r="H12" s="295" t="s">
        <v>415</v>
      </c>
    </row>
    <row r="13" spans="1:10" s="56" customFormat="1" ht="15.75">
      <c r="A13" s="61" t="s">
        <v>205</v>
      </c>
      <c r="B13" s="62" t="s">
        <v>445</v>
      </c>
      <c r="C13" s="298" t="s">
        <v>186</v>
      </c>
      <c r="D13" s="61" t="s">
        <v>205</v>
      </c>
      <c r="E13" s="61"/>
      <c r="F13" s="323">
        <v>0</v>
      </c>
      <c r="G13" s="323">
        <v>0</v>
      </c>
      <c r="H13" s="295" t="s">
        <v>415</v>
      </c>
    </row>
    <row r="14" spans="1:10" s="56" customFormat="1" ht="15.75">
      <c r="A14" s="61" t="s">
        <v>56</v>
      </c>
      <c r="B14" s="62" t="s">
        <v>446</v>
      </c>
      <c r="C14" s="298" t="s">
        <v>186</v>
      </c>
      <c r="D14" s="61" t="s">
        <v>56</v>
      </c>
      <c r="E14" s="61"/>
      <c r="F14" s="294">
        <f>5%*(F8+F9+F10)</f>
        <v>2584.7422112590075</v>
      </c>
      <c r="G14" s="294">
        <f>5%*G7</f>
        <v>2879.8898098563045</v>
      </c>
      <c r="H14" s="570"/>
    </row>
    <row r="15" spans="1:10" s="56" customFormat="1" ht="15.75">
      <c r="A15" s="61" t="s">
        <v>453</v>
      </c>
      <c r="B15" s="62" t="s">
        <v>447</v>
      </c>
      <c r="C15" s="298" t="s">
        <v>186</v>
      </c>
      <c r="D15" s="61" t="s">
        <v>453</v>
      </c>
      <c r="E15" s="61"/>
      <c r="F15" s="294">
        <v>0</v>
      </c>
      <c r="G15" s="294">
        <v>0</v>
      </c>
      <c r="H15" s="295"/>
    </row>
    <row r="16" spans="1:10" s="56" customFormat="1" ht="15.75">
      <c r="A16" s="61" t="s">
        <v>454</v>
      </c>
      <c r="B16" s="62" t="s">
        <v>455</v>
      </c>
      <c r="C16" s="298" t="s">
        <v>186</v>
      </c>
      <c r="D16" s="61" t="s">
        <v>454</v>
      </c>
      <c r="E16" s="281" t="s">
        <v>456</v>
      </c>
      <c r="F16" s="294">
        <f>F7+F13+F14+F15</f>
        <v>62262.543187046198</v>
      </c>
      <c r="G16" s="294">
        <f>G7+G13+G14+G15</f>
        <v>60477.686006982396</v>
      </c>
      <c r="H16" s="295"/>
    </row>
    <row r="17" spans="1:8" s="56" customFormat="1" ht="13.5" customHeight="1">
      <c r="A17" s="281" t="s">
        <v>457</v>
      </c>
      <c r="B17" s="297" t="s">
        <v>458</v>
      </c>
      <c r="C17" s="298" t="s">
        <v>186</v>
      </c>
      <c r="D17" s="61" t="s">
        <v>457</v>
      </c>
      <c r="E17" s="61" t="s">
        <v>459</v>
      </c>
      <c r="F17" s="294">
        <f>F16/F6</f>
        <v>62262.543187046198</v>
      </c>
      <c r="G17" s="294">
        <f>G16/G6</f>
        <v>60477.686006982396</v>
      </c>
      <c r="H17" s="295"/>
    </row>
    <row r="18" spans="1:8" ht="15.75">
      <c r="A18" s="61" t="s">
        <v>460</v>
      </c>
      <c r="B18" s="62" t="s">
        <v>464</v>
      </c>
      <c r="C18" s="298" t="s">
        <v>186</v>
      </c>
      <c r="D18" s="61" t="s">
        <v>267</v>
      </c>
      <c r="E18" s="61" t="s">
        <v>521</v>
      </c>
      <c r="F18" s="63">
        <f>F17*4.5%</f>
        <v>2801.814443417079</v>
      </c>
      <c r="G18" s="63">
        <f>G17*4.5%</f>
        <v>2721.4958703142079</v>
      </c>
      <c r="H18" s="295"/>
    </row>
    <row r="19" spans="1:8" ht="47.25">
      <c r="A19" s="61" t="s">
        <v>2</v>
      </c>
      <c r="B19" s="62" t="s">
        <v>463</v>
      </c>
      <c r="C19" s="298" t="s">
        <v>186</v>
      </c>
      <c r="D19" s="61" t="s">
        <v>2</v>
      </c>
      <c r="E19" s="61" t="s">
        <v>465</v>
      </c>
      <c r="F19" s="63">
        <f>F17+F18</f>
        <v>65064.357630463273</v>
      </c>
      <c r="G19" s="63">
        <f>G17+G18</f>
        <v>63199.181877296607</v>
      </c>
      <c r="H19" s="296"/>
    </row>
    <row r="20" spans="1:8" ht="17.25">
      <c r="A20" s="61" t="s">
        <v>461</v>
      </c>
      <c r="B20" s="62" t="s">
        <v>289</v>
      </c>
      <c r="C20" s="298" t="s">
        <v>186</v>
      </c>
      <c r="D20" s="61" t="s">
        <v>272</v>
      </c>
      <c r="E20" s="61" t="s">
        <v>273</v>
      </c>
      <c r="F20" s="63">
        <f>F21+F22</f>
        <v>9208.5378101037968</v>
      </c>
      <c r="G20" s="63">
        <f>G21+G22</f>
        <v>16074.662522830076</v>
      </c>
      <c r="H20" s="322"/>
    </row>
    <row r="21" spans="1:8" ht="16.5" customHeight="1">
      <c r="A21" s="64">
        <v>1</v>
      </c>
      <c r="B21" s="59" t="s">
        <v>603</v>
      </c>
      <c r="C21" s="298" t="s">
        <v>186</v>
      </c>
      <c r="D21" s="64" t="s">
        <v>274</v>
      </c>
      <c r="E21" s="64"/>
      <c r="F21" s="65">
        <v>0</v>
      </c>
      <c r="G21" s="65">
        <f>'IX.KH máy'!F7</f>
        <v>1856.1706102117064</v>
      </c>
      <c r="H21" s="291"/>
    </row>
    <row r="22" spans="1:8" ht="18.75" customHeight="1">
      <c r="A22" s="64">
        <v>2</v>
      </c>
      <c r="B22" s="59" t="s">
        <v>275</v>
      </c>
      <c r="C22" s="298" t="s">
        <v>186</v>
      </c>
      <c r="D22" s="64" t="s">
        <v>276</v>
      </c>
      <c r="E22" s="64"/>
      <c r="F22" s="65">
        <f>'XII. Bang tinh KH'!I64</f>
        <v>9208.5378101037968</v>
      </c>
      <c r="G22" s="65">
        <f>'XII. Bang tinh KH'!J64</f>
        <v>14218.49191261837</v>
      </c>
      <c r="H22" s="291"/>
    </row>
    <row r="23" spans="1:8" ht="17.25">
      <c r="A23" s="61" t="s">
        <v>462</v>
      </c>
      <c r="B23" s="62" t="s">
        <v>483</v>
      </c>
      <c r="C23" s="298" t="s">
        <v>186</v>
      </c>
      <c r="D23" s="61" t="s">
        <v>277</v>
      </c>
      <c r="E23" s="61" t="s">
        <v>278</v>
      </c>
      <c r="F23" s="63">
        <f>F19+F20</f>
        <v>74272.895440567067</v>
      </c>
      <c r="G23" s="63">
        <f>G19+G20</f>
        <v>79273.844400126691</v>
      </c>
      <c r="H23" s="348"/>
    </row>
    <row r="24" spans="1:8">
      <c r="G24" s="58"/>
    </row>
    <row r="25" spans="1:8">
      <c r="G25" s="58"/>
    </row>
    <row r="26" spans="1:8">
      <c r="G26" s="58"/>
    </row>
  </sheetData>
  <mergeCells count="9">
    <mergeCell ref="A1:H1"/>
    <mergeCell ref="A2:H2"/>
    <mergeCell ref="F4:G4"/>
    <mergeCell ref="A4:A5"/>
    <mergeCell ref="B4:B5"/>
    <mergeCell ref="C4:C5"/>
    <mergeCell ref="D4:D5"/>
    <mergeCell ref="E4:E5"/>
    <mergeCell ref="H4:H5"/>
  </mergeCells>
  <phoneticPr fontId="21" type="noConversion"/>
  <pageMargins left="0.7" right="0.7" top="0.75" bottom="0.75" header="0.3" footer="0.3"/>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topLeftCell="B31" zoomScale="90" zoomScaleNormal="90" workbookViewId="0">
      <selection activeCell="H12" sqref="H12"/>
    </sheetView>
  </sheetViews>
  <sheetFormatPr defaultRowHeight="14.25"/>
  <cols>
    <col min="1" max="1" width="4.875" style="264" customWidth="1"/>
    <col min="2" max="2" width="9.625" style="264" customWidth="1"/>
    <col min="3" max="3" width="29.25" style="264" customWidth="1"/>
    <col min="4" max="4" width="6.75" style="264" customWidth="1"/>
    <col min="5" max="5" width="7.375" style="264" customWidth="1"/>
    <col min="6" max="6" width="9.375" style="264" customWidth="1"/>
    <col min="7" max="8" width="9.875" style="264" customWidth="1"/>
    <col min="9" max="9" width="11.25" style="264" customWidth="1"/>
    <col min="10" max="10" width="9.875" style="264" customWidth="1"/>
    <col min="11" max="11" width="24.375" style="567" customWidth="1"/>
  </cols>
  <sheetData>
    <row r="1" spans="1:13" ht="18.75">
      <c r="A1" s="521" t="s">
        <v>683</v>
      </c>
      <c r="B1" s="521"/>
      <c r="C1" s="521"/>
      <c r="D1" s="521"/>
      <c r="E1" s="521"/>
      <c r="F1" s="521"/>
      <c r="G1" s="521"/>
      <c r="H1" s="521"/>
      <c r="I1" s="521"/>
      <c r="J1" s="521"/>
      <c r="K1" s="560"/>
      <c r="L1" s="511"/>
      <c r="M1" s="511"/>
    </row>
    <row r="2" spans="1:13" ht="18.75">
      <c r="A2" s="521" t="s">
        <v>684</v>
      </c>
      <c r="B2" s="521"/>
      <c r="C2" s="521"/>
      <c r="D2" s="521"/>
      <c r="E2" s="521"/>
      <c r="F2" s="521"/>
      <c r="G2" s="521"/>
      <c r="H2" s="521"/>
      <c r="I2" s="521"/>
      <c r="J2" s="521"/>
      <c r="K2" s="560"/>
      <c r="L2" s="511"/>
      <c r="M2" s="511"/>
    </row>
    <row r="3" spans="1:13" ht="15">
      <c r="K3" s="568" t="s">
        <v>712</v>
      </c>
    </row>
    <row r="4" spans="1:13" ht="15.75">
      <c r="A4" s="631" t="s">
        <v>0</v>
      </c>
      <c r="B4" s="631" t="s">
        <v>674</v>
      </c>
      <c r="C4" s="631" t="s">
        <v>36</v>
      </c>
      <c r="D4" s="631" t="s">
        <v>1</v>
      </c>
      <c r="E4" s="631" t="s">
        <v>685</v>
      </c>
      <c r="F4" s="631" t="s">
        <v>20</v>
      </c>
      <c r="G4" s="632" t="s">
        <v>530</v>
      </c>
      <c r="H4" s="632"/>
      <c r="I4" s="632" t="s">
        <v>246</v>
      </c>
      <c r="J4" s="632"/>
      <c r="K4" s="632" t="s">
        <v>40</v>
      </c>
    </row>
    <row r="5" spans="1:13" ht="31.5">
      <c r="A5" s="631"/>
      <c r="B5" s="631"/>
      <c r="C5" s="631"/>
      <c r="D5" s="631"/>
      <c r="E5" s="631"/>
      <c r="F5" s="631"/>
      <c r="G5" s="281" t="s">
        <v>349</v>
      </c>
      <c r="H5" s="281" t="s">
        <v>350</v>
      </c>
      <c r="I5" s="281" t="s">
        <v>349</v>
      </c>
      <c r="J5" s="516" t="s">
        <v>350</v>
      </c>
      <c r="K5" s="632"/>
    </row>
    <row r="6" spans="1:13" s="264" customFormat="1" ht="42.75">
      <c r="A6" s="517">
        <f>'[4]Công trình'!A7</f>
        <v>1</v>
      </c>
      <c r="B6" s="518" t="str">
        <f>'[4]Công trình'!E7</f>
        <v>AB.24132</v>
      </c>
      <c r="C6" s="519" t="str">
        <f>'[4]Công trình'!F7</f>
        <v>Đào xúc đất bằng máy đào 1,25m3, đất cấp II (Khoảng cách bãi tạm 1,4km)</v>
      </c>
      <c r="D6" s="518" t="str">
        <f>'[4]Công trình'!G7</f>
        <v>100m3</v>
      </c>
      <c r="E6" s="518"/>
      <c r="F6" s="519"/>
      <c r="G6" s="520"/>
      <c r="H6" s="520"/>
      <c r="I6" s="520"/>
      <c r="J6" s="520"/>
      <c r="K6" s="561"/>
    </row>
    <row r="7" spans="1:13" ht="15">
      <c r="A7" s="522"/>
      <c r="B7" s="523"/>
      <c r="C7" s="524" t="s">
        <v>686</v>
      </c>
      <c r="D7" s="523"/>
      <c r="E7" s="525"/>
      <c r="F7" s="526"/>
      <c r="G7" s="527"/>
      <c r="H7" s="527"/>
      <c r="I7" s="527">
        <f>I8</f>
        <v>116691.59999999999</v>
      </c>
      <c r="J7" s="527">
        <f>J8</f>
        <v>119614.06</v>
      </c>
      <c r="K7" s="562"/>
    </row>
    <row r="8" spans="1:13" ht="90">
      <c r="A8" s="528"/>
      <c r="B8" s="529" t="str">
        <f>'[4]Giá tháng'!B$6</f>
        <v>N1.30</v>
      </c>
      <c r="C8" s="530" t="str">
        <f>'[4]Giá tháng'!C$6</f>
        <v>Nhân công 3,0/7 - Nhóm 1</v>
      </c>
      <c r="D8" s="529" t="str">
        <f>'[4]Giá tháng'!D$6</f>
        <v>công</v>
      </c>
      <c r="E8" s="531">
        <f>'[4]Giá tháng'!G$6</f>
        <v>1</v>
      </c>
      <c r="F8" s="512">
        <f>[4]HaoPhiVatTu!F$8</f>
        <v>0.47</v>
      </c>
      <c r="G8" s="513">
        <f>'[4]Tổng hợp VT'!O$6</f>
        <v>248280</v>
      </c>
      <c r="H8" s="513">
        <v>254498</v>
      </c>
      <c r="I8" s="513">
        <f>F8*G8*E8</f>
        <v>116691.59999999999</v>
      </c>
      <c r="J8" s="513">
        <f>E8*F8*H8</f>
        <v>119614.06</v>
      </c>
      <c r="K8" s="562" t="s">
        <v>713</v>
      </c>
    </row>
    <row r="9" spans="1:13" ht="15">
      <c r="A9" s="522"/>
      <c r="B9" s="523"/>
      <c r="C9" s="524" t="s">
        <v>687</v>
      </c>
      <c r="D9" s="523"/>
      <c r="E9" s="525"/>
      <c r="F9" s="526"/>
      <c r="G9" s="527"/>
      <c r="H9" s="527"/>
      <c r="I9" s="527">
        <f>SUM(I10:I11)</f>
        <v>770369.13899999997</v>
      </c>
      <c r="J9" s="527">
        <f>SUM(J10:J11)</f>
        <v>748676.85300000012</v>
      </c>
      <c r="K9" s="561"/>
    </row>
    <row r="10" spans="1:13" ht="105">
      <c r="A10" s="528"/>
      <c r="B10" s="529" t="str">
        <f>'[4]Giá tháng'!B$8</f>
        <v>M101.0105</v>
      </c>
      <c r="C10" s="530" t="str">
        <f>'[4]Giá tháng'!C$8</f>
        <v>Máy đào một gầu, bánh xích - dung tích gầu : 1,25 m3</v>
      </c>
      <c r="D10" s="529" t="str">
        <f>'[4]Giá tháng'!D$8</f>
        <v>ca</v>
      </c>
      <c r="E10" s="531">
        <f>'[4]Giá tháng'!G$8</f>
        <v>1</v>
      </c>
      <c r="F10" s="512">
        <f>[4]HaoPhiVatTu!F$10</f>
        <v>0.19800000000000001</v>
      </c>
      <c r="G10" s="513">
        <f>'[4]Tổng hợp VT'!O$9</f>
        <v>3630991</v>
      </c>
      <c r="H10" s="513">
        <v>3528316</v>
      </c>
      <c r="I10" s="513">
        <f>F10*G10*E10</f>
        <v>718936.21799999999</v>
      </c>
      <c r="J10" s="513">
        <f>E10*F10*H10</f>
        <v>698606.56800000009</v>
      </c>
      <c r="K10" s="562" t="s">
        <v>714</v>
      </c>
    </row>
    <row r="11" spans="1:13" ht="105">
      <c r="A11" s="528"/>
      <c r="B11" s="529" t="str">
        <f>'[4]Giá tháng'!B$10</f>
        <v>M101.0503</v>
      </c>
      <c r="C11" s="530" t="str">
        <f>'[4]Giá tháng'!C$10</f>
        <v>Máy ủi - công suất : 110,0 CV</v>
      </c>
      <c r="D11" s="529" t="str">
        <f>'[4]Giá tháng'!D$10</f>
        <v>ca</v>
      </c>
      <c r="E11" s="531">
        <f>'[4]Giá tháng'!G$10</f>
        <v>1</v>
      </c>
      <c r="F11" s="512">
        <f>[4]HaoPhiVatTu!F$11</f>
        <v>2.7E-2</v>
      </c>
      <c r="G11" s="513">
        <f>'[4]Tổng hợp VT'!O$11</f>
        <v>1904923</v>
      </c>
      <c r="H11" s="513">
        <v>1854455</v>
      </c>
      <c r="I11" s="513">
        <f>F11*G11*E11</f>
        <v>51432.921000000002</v>
      </c>
      <c r="J11" s="513">
        <f>E11*F11*H11</f>
        <v>50070.284999999996</v>
      </c>
      <c r="K11" s="562" t="s">
        <v>714</v>
      </c>
    </row>
    <row r="12" spans="1:13" ht="28.5">
      <c r="A12" s="532"/>
      <c r="B12" s="518"/>
      <c r="C12" s="519" t="s">
        <v>688</v>
      </c>
      <c r="D12" s="518" t="s">
        <v>37</v>
      </c>
      <c r="E12" s="518"/>
      <c r="F12" s="533"/>
      <c r="G12" s="520"/>
      <c r="H12" s="520"/>
      <c r="I12" s="520">
        <f>+I7+I9</f>
        <v>887060.73899999994</v>
      </c>
      <c r="J12" s="520">
        <f>+J7+J9</f>
        <v>868290.91300000018</v>
      </c>
      <c r="K12" s="561"/>
    </row>
    <row r="13" spans="1:13" ht="15">
      <c r="A13" s="528"/>
      <c r="B13" s="529"/>
      <c r="C13" s="530" t="s">
        <v>689</v>
      </c>
      <c r="D13" s="529" t="str">
        <f>""</f>
        <v/>
      </c>
      <c r="E13" s="529"/>
      <c r="F13" s="534"/>
      <c r="G13" s="513"/>
      <c r="H13" s="513"/>
      <c r="I13" s="513"/>
      <c r="J13" s="513"/>
      <c r="K13" s="561"/>
    </row>
    <row r="14" spans="1:13" ht="15">
      <c r="A14" s="528"/>
      <c r="B14" s="529"/>
      <c r="C14" s="530" t="str">
        <f>"Chi phí chung (T x "&amp;[4]HSXL!C$14&amp;")"</f>
        <v>Chi phí chung (T x 4,8%)</v>
      </c>
      <c r="D14" s="529" t="s">
        <v>205</v>
      </c>
      <c r="E14" s="529"/>
      <c r="F14" s="534" t="str">
        <f>[4]HSXL!C$14</f>
        <v>4,8%</v>
      </c>
      <c r="G14" s="513"/>
      <c r="H14" s="513"/>
      <c r="I14" s="513">
        <f>I12*[4]HSXL!D$14</f>
        <v>42578.915472000001</v>
      </c>
      <c r="J14" s="513"/>
      <c r="K14" s="561"/>
    </row>
    <row r="15" spans="1:13" ht="30">
      <c r="A15" s="528"/>
      <c r="B15" s="529"/>
      <c r="C15" s="530" t="str">
        <f>"Chi phí nhà tạm để ở và điều hành thi công (T x "&amp;[4]HSXL!C$18&amp;")"</f>
        <v>Chi phí nhà tạm để ở và điều hành thi công (T x 0,95%)</v>
      </c>
      <c r="D15" s="529" t="s">
        <v>690</v>
      </c>
      <c r="E15" s="529"/>
      <c r="F15" s="534" t="str">
        <f>[4]HSXL!C$18</f>
        <v>0,95%</v>
      </c>
      <c r="G15" s="513"/>
      <c r="H15" s="513"/>
      <c r="I15" s="513">
        <f>I12*[4]HSXL!D$18</f>
        <v>8427.077020499999</v>
      </c>
      <c r="J15" s="513"/>
      <c r="K15" s="561"/>
    </row>
    <row r="16" spans="1:13" ht="45">
      <c r="A16" s="528"/>
      <c r="B16" s="529"/>
      <c r="C16" s="530" t="str">
        <f>"Chi phí một số công việc không xác định được khối lượng từ thiết kế (T x "&amp;[4]HSXL!C$13&amp;")"</f>
        <v>Chi phí một số công việc không xác định được khối lượng từ thiết kế (T x 2%)</v>
      </c>
      <c r="D16" s="529" t="s">
        <v>19</v>
      </c>
      <c r="E16" s="529"/>
      <c r="F16" s="534" t="str">
        <f>[4]HSXL!C$13</f>
        <v>2%</v>
      </c>
      <c r="G16" s="513"/>
      <c r="H16" s="513"/>
      <c r="I16" s="513">
        <f>I12*[4]HSXL!D$13</f>
        <v>17741.214779999998</v>
      </c>
      <c r="J16" s="513"/>
      <c r="K16" s="561"/>
    </row>
    <row r="17" spans="1:11" ht="28.5">
      <c r="A17" s="532"/>
      <c r="B17" s="518"/>
      <c r="C17" s="519" t="s">
        <v>691</v>
      </c>
      <c r="D17" s="518" t="s">
        <v>692</v>
      </c>
      <c r="E17" s="518"/>
      <c r="F17" s="533"/>
      <c r="G17" s="520"/>
      <c r="H17" s="520"/>
      <c r="I17" s="520">
        <f>SUM(I14:I16)</f>
        <v>68747.207272500003</v>
      </c>
      <c r="J17" s="520">
        <f>SUM(J14:J16)</f>
        <v>0</v>
      </c>
      <c r="K17" s="561"/>
    </row>
    <row r="18" spans="1:11" ht="30">
      <c r="A18" s="528"/>
      <c r="B18" s="529"/>
      <c r="C18" s="530" t="str">
        <f>"THU NHẬP CHỊU THUẾ TÍNH TRƯỚC (T+GT) x "&amp;[4]HSXL!C$16</f>
        <v>THU NHẬP CHỊU THUẾ TÍNH TRƯỚC (T+GT) x 5,5%</v>
      </c>
      <c r="D18" s="529" t="s">
        <v>693</v>
      </c>
      <c r="E18" s="529"/>
      <c r="F18" s="534" t="str">
        <f>[4]HSXL!C$16</f>
        <v>5,5%</v>
      </c>
      <c r="G18" s="513"/>
      <c r="H18" s="513"/>
      <c r="I18" s="513">
        <f>(I12+I17)*[4]HSXL!D$16</f>
        <v>52569.437044987499</v>
      </c>
      <c r="J18" s="513"/>
      <c r="K18" s="561"/>
    </row>
    <row r="19" spans="1:11" ht="30">
      <c r="A19" s="528"/>
      <c r="B19" s="529"/>
      <c r="C19" s="530" t="s">
        <v>694</v>
      </c>
      <c r="D19" s="529" t="s">
        <v>457</v>
      </c>
      <c r="E19" s="529"/>
      <c r="F19" s="534"/>
      <c r="G19" s="513"/>
      <c r="H19" s="513"/>
      <c r="I19" s="513">
        <f>I12+I17+I18</f>
        <v>1008377.3833174874</v>
      </c>
      <c r="J19" s="513"/>
      <c r="K19" s="561"/>
    </row>
    <row r="20" spans="1:11" ht="30">
      <c r="A20" s="528"/>
      <c r="B20" s="529"/>
      <c r="C20" s="530" t="str">
        <f>"THUẾ GIÁ TRỊ GIA TĂNG (G x "&amp;[4]HSXL!C$17&amp;")"</f>
        <v>THUẾ GIÁ TRỊ GIA TĂNG (G x 10%)</v>
      </c>
      <c r="D20" s="529" t="s">
        <v>695</v>
      </c>
      <c r="E20" s="529"/>
      <c r="F20" s="535">
        <f>[4]HSXL!D$17</f>
        <v>0.1</v>
      </c>
      <c r="G20" s="513"/>
      <c r="H20" s="513"/>
      <c r="I20" s="513">
        <f>F20*I19</f>
        <v>100837.73833174875</v>
      </c>
      <c r="J20" s="513"/>
      <c r="K20" s="561"/>
    </row>
    <row r="21" spans="1:11" ht="28.5">
      <c r="A21" s="536"/>
      <c r="B21" s="537"/>
      <c r="C21" s="538" t="s">
        <v>696</v>
      </c>
      <c r="D21" s="537" t="s">
        <v>697</v>
      </c>
      <c r="E21" s="537"/>
      <c r="F21" s="539"/>
      <c r="G21" s="540"/>
      <c r="H21" s="540"/>
      <c r="I21" s="541">
        <f>I19+I20</f>
        <v>1109215.1216492362</v>
      </c>
      <c r="J21" s="541">
        <f>J12</f>
        <v>868290.91300000018</v>
      </c>
      <c r="K21" s="563"/>
    </row>
    <row r="22" spans="1:11" ht="42.75">
      <c r="A22" s="517">
        <f>'[4]Công trình'!A8</f>
        <v>2</v>
      </c>
      <c r="B22" s="518" t="str">
        <f>'[4]Công trình'!E8</f>
        <v>AB.41432</v>
      </c>
      <c r="C22" s="519" t="str">
        <f>'[4]Công trình'!F8</f>
        <v>Vận chuyển đất bằng ôtô tự đổ 10 tấn trong phạm vi &lt;= 1000m, đất cấp II</v>
      </c>
      <c r="D22" s="518" t="str">
        <f>'[4]Công trình'!G8</f>
        <v>100m3</v>
      </c>
      <c r="E22" s="518"/>
      <c r="F22" s="519">
        <v>1</v>
      </c>
      <c r="G22" s="520"/>
      <c r="H22" s="520"/>
      <c r="I22" s="520"/>
      <c r="J22" s="520"/>
      <c r="K22" s="561"/>
    </row>
    <row r="23" spans="1:11" ht="15">
      <c r="A23" s="522"/>
      <c r="B23" s="523"/>
      <c r="C23" s="524" t="s">
        <v>687</v>
      </c>
      <c r="D23" s="523"/>
      <c r="E23" s="525"/>
      <c r="F23" s="526"/>
      <c r="G23" s="527"/>
      <c r="H23" s="527"/>
      <c r="I23" s="527">
        <f>I24</f>
        <v>1611184.9610000001</v>
      </c>
      <c r="J23" s="527">
        <f>J24</f>
        <v>1559564.298</v>
      </c>
      <c r="K23" s="561"/>
    </row>
    <row r="24" spans="1:11" ht="105">
      <c r="A24" s="528"/>
      <c r="B24" s="529" t="str">
        <f>'[4]Giá tháng'!B$11</f>
        <v>M106.0204</v>
      </c>
      <c r="C24" s="530" t="str">
        <f>'[4]Giá tháng'!C$11</f>
        <v>Ô tô tự đổ - trọng tải : 10,0 T</v>
      </c>
      <c r="D24" s="529" t="str">
        <f>'[4]Giá tháng'!D$11</f>
        <v>ca</v>
      </c>
      <c r="E24" s="531">
        <f>'[4]Giá tháng'!G$11</f>
        <v>1</v>
      </c>
      <c r="F24" s="512">
        <f>[4]HaoPhiVatTu!F$14</f>
        <v>0.76900000000000002</v>
      </c>
      <c r="G24" s="513">
        <f>'[4]Tổng hợp VT'!O$12</f>
        <v>2095169</v>
      </c>
      <c r="H24" s="513">
        <v>2028042</v>
      </c>
      <c r="I24" s="513">
        <f>F24*G24*E24</f>
        <v>1611184.9610000001</v>
      </c>
      <c r="J24" s="513">
        <f>E24*F24*H24</f>
        <v>1559564.298</v>
      </c>
      <c r="K24" s="562" t="s">
        <v>715</v>
      </c>
    </row>
    <row r="25" spans="1:11" ht="28.5">
      <c r="A25" s="532"/>
      <c r="B25" s="518"/>
      <c r="C25" s="519" t="s">
        <v>688</v>
      </c>
      <c r="D25" s="518" t="s">
        <v>37</v>
      </c>
      <c r="E25" s="518"/>
      <c r="F25" s="533"/>
      <c r="G25" s="520"/>
      <c r="H25" s="520"/>
      <c r="I25" s="520">
        <f>+I23</f>
        <v>1611184.9610000001</v>
      </c>
      <c r="J25" s="520">
        <f>+J23</f>
        <v>1559564.298</v>
      </c>
      <c r="K25" s="561"/>
    </row>
    <row r="26" spans="1:11" ht="15">
      <c r="A26" s="528"/>
      <c r="B26" s="529"/>
      <c r="C26" s="530" t="s">
        <v>689</v>
      </c>
      <c r="D26" s="529" t="str">
        <f>""</f>
        <v/>
      </c>
      <c r="E26" s="529"/>
      <c r="F26" s="534"/>
      <c r="G26" s="513"/>
      <c r="H26" s="513"/>
      <c r="I26" s="513"/>
      <c r="J26" s="513"/>
      <c r="K26" s="561"/>
    </row>
    <row r="27" spans="1:11" ht="15">
      <c r="A27" s="528"/>
      <c r="B27" s="529"/>
      <c r="C27" s="530" t="str">
        <f>"Chi phí chung (T x "&amp;[4]HSXL!C$14&amp;")"</f>
        <v>Chi phí chung (T x 4,8%)</v>
      </c>
      <c r="D27" s="529" t="s">
        <v>205</v>
      </c>
      <c r="E27" s="529"/>
      <c r="F27" s="534" t="str">
        <f>[4]HSXL!C$14</f>
        <v>4,8%</v>
      </c>
      <c r="G27" s="513"/>
      <c r="H27" s="513"/>
      <c r="I27" s="513">
        <f>I25*[4]HSXL!D$14</f>
        <v>77336.878128000011</v>
      </c>
      <c r="J27" s="513"/>
      <c r="K27" s="561"/>
    </row>
    <row r="28" spans="1:11" ht="30">
      <c r="A28" s="528"/>
      <c r="B28" s="529"/>
      <c r="C28" s="530" t="str">
        <f>"Chi phí nhà tạm để ở và điều hành thi công (T x "&amp;[4]HSXL!C$18&amp;")"</f>
        <v>Chi phí nhà tạm để ở và điều hành thi công (T x 0,95%)</v>
      </c>
      <c r="D28" s="529" t="s">
        <v>690</v>
      </c>
      <c r="E28" s="529"/>
      <c r="F28" s="534" t="str">
        <f>[4]HSXL!C$18</f>
        <v>0,95%</v>
      </c>
      <c r="G28" s="513"/>
      <c r="H28" s="513"/>
      <c r="I28" s="513">
        <f>I25*[4]HSXL!D$18</f>
        <v>15306.257129500002</v>
      </c>
      <c r="J28" s="513"/>
      <c r="K28" s="561"/>
    </row>
    <row r="29" spans="1:11" ht="45">
      <c r="A29" s="528"/>
      <c r="B29" s="529"/>
      <c r="C29" s="530" t="str">
        <f>"Chi phí một số công việc không xác định được khối lượng từ thiết kế (T x "&amp;[4]HSXL!C$13&amp;")"</f>
        <v>Chi phí một số công việc không xác định được khối lượng từ thiết kế (T x 2%)</v>
      </c>
      <c r="D29" s="529" t="s">
        <v>19</v>
      </c>
      <c r="E29" s="529"/>
      <c r="F29" s="534" t="str">
        <f>[4]HSXL!C$13</f>
        <v>2%</v>
      </c>
      <c r="G29" s="513"/>
      <c r="H29" s="513"/>
      <c r="I29" s="513">
        <f>I25*[4]HSXL!D$13</f>
        <v>32223.699220000002</v>
      </c>
      <c r="J29" s="513"/>
      <c r="K29" s="561"/>
    </row>
    <row r="30" spans="1:11" ht="28.5">
      <c r="A30" s="532"/>
      <c r="B30" s="518"/>
      <c r="C30" s="519" t="s">
        <v>691</v>
      </c>
      <c r="D30" s="518" t="s">
        <v>692</v>
      </c>
      <c r="E30" s="518"/>
      <c r="F30" s="533"/>
      <c r="G30" s="520"/>
      <c r="H30" s="520"/>
      <c r="I30" s="520">
        <f>SUM(I27:I29)</f>
        <v>124866.83447750003</v>
      </c>
      <c r="J30" s="520">
        <f>SUM(J27:J29)</f>
        <v>0</v>
      </c>
      <c r="K30" s="561"/>
    </row>
    <row r="31" spans="1:11" ht="30">
      <c r="A31" s="528"/>
      <c r="B31" s="529"/>
      <c r="C31" s="530" t="str">
        <f>"THU NHẬP CHỊU THUẾ TÍNH TRƯỚC (T+GT) x "&amp;[4]HSXL!C$16</f>
        <v>THU NHẬP CHỊU THUẾ TÍNH TRƯỚC (T+GT) x 5,5%</v>
      </c>
      <c r="D31" s="529" t="s">
        <v>693</v>
      </c>
      <c r="E31" s="529"/>
      <c r="F31" s="534" t="str">
        <f>[4]HSXL!C$16</f>
        <v>5,5%</v>
      </c>
      <c r="G31" s="513"/>
      <c r="H31" s="513"/>
      <c r="I31" s="513">
        <f>(I25+I30)*[4]HSXL!D$16</f>
        <v>95482.848751262514</v>
      </c>
      <c r="J31" s="513"/>
      <c r="K31" s="561"/>
    </row>
    <row r="32" spans="1:11" ht="30">
      <c r="A32" s="528"/>
      <c r="B32" s="529"/>
      <c r="C32" s="530" t="s">
        <v>694</v>
      </c>
      <c r="D32" s="529" t="s">
        <v>457</v>
      </c>
      <c r="E32" s="529"/>
      <c r="F32" s="534"/>
      <c r="G32" s="513"/>
      <c r="H32" s="513"/>
      <c r="I32" s="513">
        <f>I25+I30+I31</f>
        <v>1831534.6442287627</v>
      </c>
      <c r="J32" s="513"/>
      <c r="K32" s="561"/>
    </row>
    <row r="33" spans="1:11" ht="30">
      <c r="A33" s="528"/>
      <c r="B33" s="529"/>
      <c r="C33" s="530" t="str">
        <f>"THUẾ GIÁ TRỊ GIA TĂNG (G x "&amp;[4]HSXL!C$17&amp;")"</f>
        <v>THUẾ GIÁ TRỊ GIA TĂNG (G x 10%)</v>
      </c>
      <c r="D33" s="529" t="s">
        <v>695</v>
      </c>
      <c r="E33" s="529"/>
      <c r="F33" s="535">
        <f>[4]HSXL!D$17</f>
        <v>0.1</v>
      </c>
      <c r="G33" s="513"/>
      <c r="H33" s="513"/>
      <c r="I33" s="513">
        <f>F33*I32</f>
        <v>183153.46442287628</v>
      </c>
      <c r="J33" s="513"/>
      <c r="K33" s="561"/>
    </row>
    <row r="34" spans="1:11" ht="28.5">
      <c r="A34" s="536"/>
      <c r="B34" s="537"/>
      <c r="C34" s="538" t="s">
        <v>696</v>
      </c>
      <c r="D34" s="537" t="s">
        <v>697</v>
      </c>
      <c r="E34" s="537"/>
      <c r="F34" s="539"/>
      <c r="G34" s="540"/>
      <c r="H34" s="540"/>
      <c r="I34" s="541">
        <f>I32+I33</f>
        <v>2014688.108651639</v>
      </c>
      <c r="J34" s="540">
        <f>J25</f>
        <v>1559564.298</v>
      </c>
      <c r="K34" s="563"/>
    </row>
    <row r="35" spans="1:11" ht="42.75">
      <c r="A35" s="517">
        <f>'[4]Công trình'!A9</f>
        <v>3</v>
      </c>
      <c r="B35" s="518" t="str">
        <f>'[4]Công trình'!E9</f>
        <v>AB.42132</v>
      </c>
      <c r="C35" s="519" t="str">
        <f>'[4]Công trình'!F9</f>
        <v>Vận chuyển đất bằng ô tô tự đổ 10T 1km tiếp theo trong phạm vi 0,4km, đất cấp II</v>
      </c>
      <c r="D35" s="518" t="str">
        <f>'[4]Công trình'!G9</f>
        <v>100m3</v>
      </c>
      <c r="E35" s="518"/>
      <c r="F35" s="519">
        <v>1</v>
      </c>
      <c r="G35" s="520"/>
      <c r="H35" s="520"/>
      <c r="I35" s="520"/>
      <c r="J35" s="520"/>
      <c r="K35" s="561"/>
    </row>
    <row r="36" spans="1:11" ht="15">
      <c r="A36" s="522"/>
      <c r="B36" s="523"/>
      <c r="C36" s="524" t="s">
        <v>687</v>
      </c>
      <c r="D36" s="523"/>
      <c r="E36" s="525"/>
      <c r="F36" s="526"/>
      <c r="G36" s="527"/>
      <c r="H36" s="527"/>
      <c r="I36" s="527">
        <f>I37</f>
        <v>246391.8744</v>
      </c>
      <c r="J36" s="527">
        <f>J37</f>
        <v>238497.73919999998</v>
      </c>
      <c r="K36" s="561"/>
    </row>
    <row r="37" spans="1:11" ht="105">
      <c r="A37" s="528"/>
      <c r="B37" s="529" t="str">
        <f>'[4]Giá tháng'!B$11</f>
        <v>M106.0204</v>
      </c>
      <c r="C37" s="530" t="str">
        <f>'[4]Giá tháng'!C$11</f>
        <v>Ô tô tự đổ - trọng tải : 10,0 T</v>
      </c>
      <c r="D37" s="529" t="str">
        <f>'[4]Giá tháng'!D$11</f>
        <v>ca</v>
      </c>
      <c r="E37" s="531">
        <v>0.4</v>
      </c>
      <c r="F37" s="512">
        <f>[4]HaoPhiVatTu!F$17</f>
        <v>0.29399999999999998</v>
      </c>
      <c r="G37" s="513">
        <f>'[4]Tổng hợp VT'!O$12</f>
        <v>2095169</v>
      </c>
      <c r="H37" s="513">
        <v>2028042</v>
      </c>
      <c r="I37" s="513">
        <f>F37*G37*E37</f>
        <v>246391.8744</v>
      </c>
      <c r="J37" s="513">
        <f>E37*F37*H37</f>
        <v>238497.73919999998</v>
      </c>
      <c r="K37" s="562" t="s">
        <v>716</v>
      </c>
    </row>
    <row r="38" spans="1:11" ht="28.5">
      <c r="A38" s="532"/>
      <c r="B38" s="518"/>
      <c r="C38" s="519" t="s">
        <v>688</v>
      </c>
      <c r="D38" s="518" t="s">
        <v>37</v>
      </c>
      <c r="E38" s="518"/>
      <c r="F38" s="533"/>
      <c r="G38" s="520"/>
      <c r="H38" s="520"/>
      <c r="I38" s="520">
        <f>+I36</f>
        <v>246391.8744</v>
      </c>
      <c r="J38" s="520">
        <f>+J36</f>
        <v>238497.73919999998</v>
      </c>
      <c r="K38" s="561"/>
    </row>
    <row r="39" spans="1:11" ht="15">
      <c r="A39" s="528"/>
      <c r="B39" s="529"/>
      <c r="C39" s="530" t="s">
        <v>689</v>
      </c>
      <c r="D39" s="529" t="str">
        <f>""</f>
        <v/>
      </c>
      <c r="E39" s="529"/>
      <c r="F39" s="534"/>
      <c r="G39" s="513"/>
      <c r="H39" s="513"/>
      <c r="I39" s="513"/>
      <c r="J39" s="513"/>
      <c r="K39" s="561"/>
    </row>
    <row r="40" spans="1:11" ht="15">
      <c r="A40" s="528"/>
      <c r="B40" s="529"/>
      <c r="C40" s="530" t="str">
        <f>"Chi phí chung (T x "&amp;[4]HSXL!C$14&amp;")"</f>
        <v>Chi phí chung (T x 4,8%)</v>
      </c>
      <c r="D40" s="529" t="s">
        <v>205</v>
      </c>
      <c r="E40" s="529"/>
      <c r="F40" s="534" t="str">
        <f>[4]HSXL!C$14</f>
        <v>4,8%</v>
      </c>
      <c r="G40" s="513"/>
      <c r="H40" s="513"/>
      <c r="I40" s="513">
        <f>I38*[4]HSXL!D$14</f>
        <v>11826.8099712</v>
      </c>
      <c r="J40" s="513"/>
      <c r="K40" s="561"/>
    </row>
    <row r="41" spans="1:11" ht="30">
      <c r="A41" s="528"/>
      <c r="B41" s="529"/>
      <c r="C41" s="530" t="str">
        <f>"Chi phí nhà tạm để ở và điều hành thi công (T x "&amp;[4]HSXL!C$18&amp;")"</f>
        <v>Chi phí nhà tạm để ở và điều hành thi công (T x 0,95%)</v>
      </c>
      <c r="D41" s="529" t="s">
        <v>690</v>
      </c>
      <c r="E41" s="529"/>
      <c r="F41" s="534" t="str">
        <f>[4]HSXL!C$18</f>
        <v>0,95%</v>
      </c>
      <c r="G41" s="513"/>
      <c r="H41" s="513"/>
      <c r="I41" s="513">
        <f>I38*[4]HSXL!D$18</f>
        <v>2340.7228067999999</v>
      </c>
      <c r="J41" s="513"/>
      <c r="K41" s="561"/>
    </row>
    <row r="42" spans="1:11" ht="45">
      <c r="A42" s="528"/>
      <c r="B42" s="529"/>
      <c r="C42" s="530" t="str">
        <f>"Chi phí một số công việc không xác định được khối lượng từ thiết kế (T x "&amp;[4]HSXL!C$13&amp;")"</f>
        <v>Chi phí một số công việc không xác định được khối lượng từ thiết kế (T x 2%)</v>
      </c>
      <c r="D42" s="529" t="s">
        <v>19</v>
      </c>
      <c r="E42" s="529"/>
      <c r="F42" s="534" t="str">
        <f>[4]HSXL!C$13</f>
        <v>2%</v>
      </c>
      <c r="G42" s="513"/>
      <c r="H42" s="513"/>
      <c r="I42" s="513">
        <f>I38*[4]HSXL!D$13</f>
        <v>4927.8374880000001</v>
      </c>
      <c r="J42" s="513"/>
      <c r="K42" s="561"/>
    </row>
    <row r="43" spans="1:11" ht="28.5">
      <c r="A43" s="532"/>
      <c r="B43" s="518"/>
      <c r="C43" s="519" t="s">
        <v>691</v>
      </c>
      <c r="D43" s="518" t="s">
        <v>692</v>
      </c>
      <c r="E43" s="518"/>
      <c r="F43" s="533"/>
      <c r="G43" s="520"/>
      <c r="H43" s="520"/>
      <c r="I43" s="520">
        <f>SUM(I40:I42)</f>
        <v>19095.370266000002</v>
      </c>
      <c r="J43" s="520"/>
      <c r="K43" s="561"/>
    </row>
    <row r="44" spans="1:11" ht="30">
      <c r="A44" s="528"/>
      <c r="B44" s="529"/>
      <c r="C44" s="530" t="str">
        <f>"THU NHẬP CHỊU THUẾ TÍNH TRƯỚC (T+GT) x "&amp;[4]HSXL!C$16</f>
        <v>THU NHẬP CHỊU THUẾ TÍNH TRƯỚC (T+GT) x 5,5%</v>
      </c>
      <c r="D44" s="529" t="s">
        <v>693</v>
      </c>
      <c r="E44" s="529"/>
      <c r="F44" s="534" t="str">
        <f>[4]HSXL!C$16</f>
        <v>5,5%</v>
      </c>
      <c r="G44" s="513"/>
      <c r="H44" s="513"/>
      <c r="I44" s="513">
        <f>(I38+I43)*[4]HSXL!D$16</f>
        <v>14601.79845663</v>
      </c>
      <c r="J44" s="513"/>
      <c r="K44" s="561"/>
    </row>
    <row r="45" spans="1:11" ht="30">
      <c r="A45" s="528"/>
      <c r="B45" s="529"/>
      <c r="C45" s="530" t="s">
        <v>694</v>
      </c>
      <c r="D45" s="529" t="s">
        <v>457</v>
      </c>
      <c r="E45" s="529"/>
      <c r="F45" s="534"/>
      <c r="G45" s="513"/>
      <c r="H45" s="513"/>
      <c r="I45" s="513">
        <f>I38+I43+I44</f>
        <v>280089.04312262998</v>
      </c>
      <c r="J45" s="513"/>
      <c r="K45" s="561"/>
    </row>
    <row r="46" spans="1:11" ht="30">
      <c r="A46" s="528"/>
      <c r="B46" s="529"/>
      <c r="C46" s="530" t="str">
        <f>"THUẾ GIÁ TRỊ GIA TĂNG (G x "&amp;[4]HSXL!C$17&amp;")"</f>
        <v>THUẾ GIÁ TRỊ GIA TĂNG (G x 10%)</v>
      </c>
      <c r="D46" s="529" t="s">
        <v>695</v>
      </c>
      <c r="E46" s="529"/>
      <c r="F46" s="535">
        <f>[4]HSXL!D$17</f>
        <v>0.1</v>
      </c>
      <c r="G46" s="513"/>
      <c r="H46" s="513"/>
      <c r="I46" s="513">
        <f>F46*I45</f>
        <v>28008.904312262999</v>
      </c>
      <c r="J46" s="513"/>
      <c r="K46" s="561"/>
    </row>
    <row r="47" spans="1:11" ht="28.5">
      <c r="A47" s="536"/>
      <c r="B47" s="537"/>
      <c r="C47" s="538" t="s">
        <v>696</v>
      </c>
      <c r="D47" s="537" t="s">
        <v>697</v>
      </c>
      <c r="E47" s="537"/>
      <c r="F47" s="539"/>
      <c r="G47" s="540"/>
      <c r="H47" s="540"/>
      <c r="I47" s="541">
        <f>I45+I46</f>
        <v>308097.94743489299</v>
      </c>
      <c r="J47" s="540">
        <f>J38</f>
        <v>238497.73919999998</v>
      </c>
      <c r="K47" s="563"/>
    </row>
    <row r="48" spans="1:11" ht="42.75">
      <c r="A48" s="517">
        <f>'[4]Công trình'!A10</f>
        <v>4</v>
      </c>
      <c r="B48" s="518" t="str">
        <f>'[4]Công trình'!E10</f>
        <v>AB.24132</v>
      </c>
      <c r="C48" s="519" t="str">
        <f>'[4]Công trình'!F10</f>
        <v>Đào xúc đất bằng máy đào 1,25m3, đất cấp II (Khoảng cách bãi tạm 5,3km)</v>
      </c>
      <c r="D48" s="518" t="str">
        <f>'[4]Công trình'!G10</f>
        <v>100m3</v>
      </c>
      <c r="E48" s="518"/>
      <c r="F48" s="519">
        <v>1</v>
      </c>
      <c r="G48" s="520"/>
      <c r="H48" s="520"/>
      <c r="I48" s="520"/>
      <c r="J48" s="520"/>
      <c r="K48" s="561"/>
    </row>
    <row r="49" spans="1:11" ht="15">
      <c r="A49" s="522"/>
      <c r="B49" s="523"/>
      <c r="C49" s="524" t="s">
        <v>686</v>
      </c>
      <c r="D49" s="523"/>
      <c r="E49" s="525"/>
      <c r="F49" s="526"/>
      <c r="G49" s="527"/>
      <c r="H49" s="527"/>
      <c r="I49" s="527">
        <f>I50</f>
        <v>116691.59999999999</v>
      </c>
      <c r="J49" s="527">
        <f>J50</f>
        <v>119614.06</v>
      </c>
      <c r="K49" s="561"/>
    </row>
    <row r="50" spans="1:11" ht="90">
      <c r="A50" s="528"/>
      <c r="B50" s="529" t="str">
        <f>'[4]Giá tháng'!B$6</f>
        <v>N1.30</v>
      </c>
      <c r="C50" s="530" t="str">
        <f>'[4]Giá tháng'!C$6</f>
        <v>Nhân công 3,0/7 - Nhóm 1</v>
      </c>
      <c r="D50" s="529" t="str">
        <f>'[4]Giá tháng'!D$6</f>
        <v>công</v>
      </c>
      <c r="E50" s="531">
        <f>'[4]Giá tháng'!G$6</f>
        <v>1</v>
      </c>
      <c r="F50" s="512">
        <f>[4]HaoPhiVatTu!F$23</f>
        <v>0.47</v>
      </c>
      <c r="G50" s="513">
        <f>'[4]Tổng hợp VT'!O$6</f>
        <v>248280</v>
      </c>
      <c r="H50" s="513">
        <v>254498</v>
      </c>
      <c r="I50" s="513">
        <f>F50*G50*E50</f>
        <v>116691.59999999999</v>
      </c>
      <c r="J50" s="513">
        <f>E50*F50*H50</f>
        <v>119614.06</v>
      </c>
      <c r="K50" s="562" t="s">
        <v>713</v>
      </c>
    </row>
    <row r="51" spans="1:11" ht="15">
      <c r="A51" s="522"/>
      <c r="B51" s="523"/>
      <c r="C51" s="524" t="s">
        <v>687</v>
      </c>
      <c r="D51" s="523"/>
      <c r="E51" s="525"/>
      <c r="F51" s="526"/>
      <c r="G51" s="527"/>
      <c r="H51" s="527"/>
      <c r="I51" s="527">
        <f>SUM(I52:I53)</f>
        <v>770369.13899999997</v>
      </c>
      <c r="J51" s="527">
        <f>SUM(J52:J53)</f>
        <v>748676.85300000012</v>
      </c>
      <c r="K51" s="561"/>
    </row>
    <row r="52" spans="1:11" ht="105">
      <c r="A52" s="528"/>
      <c r="B52" s="529" t="str">
        <f>'[4]Giá tháng'!B$8</f>
        <v>M101.0105</v>
      </c>
      <c r="C52" s="530" t="str">
        <f>'[4]Giá tháng'!C$8</f>
        <v>Máy đào một gầu, bánh xích - dung tích gầu : 1,25 m3</v>
      </c>
      <c r="D52" s="529" t="str">
        <f>'[4]Giá tháng'!D$8</f>
        <v>ca</v>
      </c>
      <c r="E52" s="531">
        <f>'[4]Giá tháng'!G$8</f>
        <v>1</v>
      </c>
      <c r="F52" s="512">
        <f>[4]HaoPhiVatTu!F$25</f>
        <v>0.19800000000000001</v>
      </c>
      <c r="G52" s="513">
        <f>'[4]Tổng hợp VT'!O$9</f>
        <v>3630991</v>
      </c>
      <c r="H52" s="513">
        <v>3528316</v>
      </c>
      <c r="I52" s="513">
        <f>F52*G52*E52</f>
        <v>718936.21799999999</v>
      </c>
      <c r="J52" s="513">
        <f>E52*F52*H52</f>
        <v>698606.56800000009</v>
      </c>
      <c r="K52" s="562" t="s">
        <v>714</v>
      </c>
    </row>
    <row r="53" spans="1:11" ht="105">
      <c r="A53" s="528"/>
      <c r="B53" s="529" t="str">
        <f>'[4]Giá tháng'!B$10</f>
        <v>M101.0503</v>
      </c>
      <c r="C53" s="530" t="str">
        <f>'[4]Giá tháng'!C$10</f>
        <v>Máy ủi - công suất : 110,0 CV</v>
      </c>
      <c r="D53" s="529" t="str">
        <f>'[4]Giá tháng'!D$10</f>
        <v>ca</v>
      </c>
      <c r="E53" s="531">
        <f>'[4]Giá tháng'!G$10</f>
        <v>1</v>
      </c>
      <c r="F53" s="512">
        <f>[4]HaoPhiVatTu!F$26</f>
        <v>2.7E-2</v>
      </c>
      <c r="G53" s="513">
        <f>'[4]Tổng hợp VT'!O$11</f>
        <v>1904923</v>
      </c>
      <c r="H53" s="513">
        <v>1854455</v>
      </c>
      <c r="I53" s="513">
        <f>F53*G53*E53</f>
        <v>51432.921000000002</v>
      </c>
      <c r="J53" s="513">
        <f>E53*F53*H53</f>
        <v>50070.284999999996</v>
      </c>
      <c r="K53" s="562" t="s">
        <v>714</v>
      </c>
    </row>
    <row r="54" spans="1:11" ht="28.5">
      <c r="A54" s="532"/>
      <c r="B54" s="518"/>
      <c r="C54" s="519" t="s">
        <v>688</v>
      </c>
      <c r="D54" s="518" t="s">
        <v>37</v>
      </c>
      <c r="E54" s="518"/>
      <c r="F54" s="533"/>
      <c r="G54" s="520"/>
      <c r="H54" s="520"/>
      <c r="I54" s="520">
        <f>+I49+I51</f>
        <v>887060.73899999994</v>
      </c>
      <c r="J54" s="520">
        <f>+J49+J51</f>
        <v>868290.91300000018</v>
      </c>
      <c r="K54" s="561"/>
    </row>
    <row r="55" spans="1:11" ht="15">
      <c r="A55" s="528"/>
      <c r="B55" s="529"/>
      <c r="C55" s="530" t="s">
        <v>689</v>
      </c>
      <c r="D55" s="529" t="str">
        <f>""</f>
        <v/>
      </c>
      <c r="E55" s="529"/>
      <c r="F55" s="534"/>
      <c r="G55" s="513"/>
      <c r="H55" s="513"/>
      <c r="I55" s="513"/>
      <c r="J55" s="513"/>
      <c r="K55" s="561"/>
    </row>
    <row r="56" spans="1:11" ht="15">
      <c r="A56" s="528"/>
      <c r="B56" s="529"/>
      <c r="C56" s="530" t="str">
        <f>"Chi phí chung (T x "&amp;[4]HSXL!C$14&amp;")"</f>
        <v>Chi phí chung (T x 4,8%)</v>
      </c>
      <c r="D56" s="529" t="s">
        <v>205</v>
      </c>
      <c r="E56" s="529"/>
      <c r="F56" s="534" t="str">
        <f>[4]HSXL!C$14</f>
        <v>4,8%</v>
      </c>
      <c r="G56" s="513"/>
      <c r="H56" s="513"/>
      <c r="I56" s="513">
        <f>I54*[4]HSXL!D$14</f>
        <v>42578.915472000001</v>
      </c>
      <c r="J56" s="513"/>
      <c r="K56" s="561"/>
    </row>
    <row r="57" spans="1:11" ht="30">
      <c r="A57" s="528"/>
      <c r="B57" s="529"/>
      <c r="C57" s="530" t="str">
        <f>"Chi phí nhà tạm để ở và điều hành thi công (T x "&amp;[4]HSXL!C$18&amp;")"</f>
        <v>Chi phí nhà tạm để ở và điều hành thi công (T x 0,95%)</v>
      </c>
      <c r="D57" s="529" t="s">
        <v>690</v>
      </c>
      <c r="E57" s="529"/>
      <c r="F57" s="534" t="str">
        <f>[4]HSXL!C$18</f>
        <v>0,95%</v>
      </c>
      <c r="G57" s="513"/>
      <c r="H57" s="513"/>
      <c r="I57" s="513">
        <f>I54*[4]HSXL!D$18</f>
        <v>8427.077020499999</v>
      </c>
      <c r="J57" s="513"/>
      <c r="K57" s="561"/>
    </row>
    <row r="58" spans="1:11" ht="45">
      <c r="A58" s="528"/>
      <c r="B58" s="529"/>
      <c r="C58" s="530" t="str">
        <f>"Chi phí một số công việc không xác định được khối lượng từ thiết kế (T x "&amp;[4]HSXL!C$13&amp;")"</f>
        <v>Chi phí một số công việc không xác định được khối lượng từ thiết kế (T x 2%)</v>
      </c>
      <c r="D58" s="529" t="s">
        <v>19</v>
      </c>
      <c r="E58" s="529"/>
      <c r="F58" s="534" t="str">
        <f>[4]HSXL!C$13</f>
        <v>2%</v>
      </c>
      <c r="G58" s="513"/>
      <c r="H58" s="513"/>
      <c r="I58" s="513">
        <f>I54*[4]HSXL!D$13</f>
        <v>17741.214779999998</v>
      </c>
      <c r="J58" s="513"/>
      <c r="K58" s="561"/>
    </row>
    <row r="59" spans="1:11" ht="28.5">
      <c r="A59" s="532"/>
      <c r="B59" s="518"/>
      <c r="C59" s="519" t="s">
        <v>691</v>
      </c>
      <c r="D59" s="518" t="s">
        <v>692</v>
      </c>
      <c r="E59" s="518"/>
      <c r="F59" s="533"/>
      <c r="G59" s="520"/>
      <c r="H59" s="520"/>
      <c r="I59" s="520">
        <f>SUM(I56:I58)</f>
        <v>68747.207272500003</v>
      </c>
      <c r="J59" s="520"/>
      <c r="K59" s="561"/>
    </row>
    <row r="60" spans="1:11" ht="30">
      <c r="A60" s="528"/>
      <c r="B60" s="529"/>
      <c r="C60" s="530" t="str">
        <f>"THU NHẬP CHỊU THUẾ TÍNH TRƯỚC (T+GT) x "&amp;[4]HSXL!C$16</f>
        <v>THU NHẬP CHỊU THUẾ TÍNH TRƯỚC (T+GT) x 5,5%</v>
      </c>
      <c r="D60" s="529" t="s">
        <v>693</v>
      </c>
      <c r="E60" s="529"/>
      <c r="F60" s="534" t="str">
        <f>[4]HSXL!C$16</f>
        <v>5,5%</v>
      </c>
      <c r="G60" s="513"/>
      <c r="H60" s="513"/>
      <c r="I60" s="513">
        <f>(I54+I59)*[4]HSXL!D$16</f>
        <v>52569.437044987499</v>
      </c>
      <c r="J60" s="513"/>
      <c r="K60" s="561"/>
    </row>
    <row r="61" spans="1:11" ht="30">
      <c r="A61" s="528"/>
      <c r="B61" s="529"/>
      <c r="C61" s="530" t="s">
        <v>694</v>
      </c>
      <c r="D61" s="529" t="s">
        <v>457</v>
      </c>
      <c r="E61" s="529"/>
      <c r="F61" s="534"/>
      <c r="G61" s="513"/>
      <c r="H61" s="513"/>
      <c r="I61" s="513">
        <f>I54+I59+I60</f>
        <v>1008377.3833174874</v>
      </c>
      <c r="J61" s="513"/>
      <c r="K61" s="561"/>
    </row>
    <row r="62" spans="1:11" ht="30">
      <c r="A62" s="528"/>
      <c r="B62" s="529"/>
      <c r="C62" s="530" t="str">
        <f>"THUẾ GIÁ TRỊ GIA TĂNG (G x "&amp;[4]HSXL!C$17&amp;")"</f>
        <v>THUẾ GIÁ TRỊ GIA TĂNG (G x 10%)</v>
      </c>
      <c r="D62" s="529" t="s">
        <v>695</v>
      </c>
      <c r="E62" s="529"/>
      <c r="F62" s="535">
        <f>[4]HSXL!D$17</f>
        <v>0.1</v>
      </c>
      <c r="G62" s="513"/>
      <c r="H62" s="513"/>
      <c r="I62" s="513">
        <f>F62*I61</f>
        <v>100837.73833174875</v>
      </c>
      <c r="J62" s="513"/>
      <c r="K62" s="561"/>
    </row>
    <row r="63" spans="1:11" ht="28.5">
      <c r="A63" s="536"/>
      <c r="B63" s="537"/>
      <c r="C63" s="538" t="s">
        <v>696</v>
      </c>
      <c r="D63" s="537" t="s">
        <v>697</v>
      </c>
      <c r="E63" s="537"/>
      <c r="F63" s="539"/>
      <c r="G63" s="540"/>
      <c r="H63" s="540"/>
      <c r="I63" s="541">
        <f>I61+I62</f>
        <v>1109215.1216492362</v>
      </c>
      <c r="J63" s="540">
        <f>J54</f>
        <v>868290.91300000018</v>
      </c>
      <c r="K63" s="563"/>
    </row>
    <row r="64" spans="1:11" ht="42.75">
      <c r="A64" s="517">
        <f>'[4]Công trình'!A11</f>
        <v>5</v>
      </c>
      <c r="B64" s="518" t="str">
        <f>'[4]Công trình'!E11</f>
        <v>AB.41432</v>
      </c>
      <c r="C64" s="519" t="str">
        <f>'[4]Công trình'!F11</f>
        <v>Vận chuyển đất bằng ôtô tự đổ 10 tấn trong phạm vi &lt;= 1000m, đất cấp II</v>
      </c>
      <c r="D64" s="518" t="str">
        <f>'[4]Công trình'!G11</f>
        <v>100m3</v>
      </c>
      <c r="E64" s="518"/>
      <c r="F64" s="519">
        <v>1</v>
      </c>
      <c r="G64" s="520"/>
      <c r="H64" s="520"/>
      <c r="I64" s="520"/>
      <c r="J64" s="520"/>
      <c r="K64" s="561"/>
    </row>
    <row r="65" spans="1:11" ht="15">
      <c r="A65" s="522"/>
      <c r="B65" s="523"/>
      <c r="C65" s="524" t="s">
        <v>687</v>
      </c>
      <c r="D65" s="523"/>
      <c r="E65" s="525"/>
      <c r="F65" s="526"/>
      <c r="G65" s="527"/>
      <c r="H65" s="527"/>
      <c r="I65" s="527">
        <f>I66</f>
        <v>1611184.9610000001</v>
      </c>
      <c r="J65" s="527">
        <f>J66</f>
        <v>1559564.298</v>
      </c>
      <c r="K65" s="561"/>
    </row>
    <row r="66" spans="1:11" ht="105">
      <c r="A66" s="528"/>
      <c r="B66" s="529" t="str">
        <f>'[4]Giá tháng'!B$11</f>
        <v>M106.0204</v>
      </c>
      <c r="C66" s="530" t="str">
        <f>'[4]Giá tháng'!C$11</f>
        <v>Ô tô tự đổ - trọng tải : 10,0 T</v>
      </c>
      <c r="D66" s="529" t="str">
        <f>'[4]Giá tháng'!D$11</f>
        <v>ca</v>
      </c>
      <c r="E66" s="531">
        <f>'[4]Giá tháng'!G$11</f>
        <v>1</v>
      </c>
      <c r="F66" s="512">
        <f>[4]HaoPhiVatTu!F$29</f>
        <v>0.76900000000000002</v>
      </c>
      <c r="G66" s="513">
        <f>'[4]Tổng hợp VT'!O$12</f>
        <v>2095169</v>
      </c>
      <c r="H66" s="513">
        <v>2028042</v>
      </c>
      <c r="I66" s="513">
        <f>F66*G66*E66</f>
        <v>1611184.9610000001</v>
      </c>
      <c r="J66" s="513">
        <f>E66*F66*H66</f>
        <v>1559564.298</v>
      </c>
      <c r="K66" s="562" t="s">
        <v>715</v>
      </c>
    </row>
    <row r="67" spans="1:11" ht="28.5">
      <c r="A67" s="532"/>
      <c r="B67" s="518"/>
      <c r="C67" s="519" t="s">
        <v>688</v>
      </c>
      <c r="D67" s="518" t="s">
        <v>37</v>
      </c>
      <c r="E67" s="518"/>
      <c r="F67" s="533"/>
      <c r="G67" s="520"/>
      <c r="H67" s="520"/>
      <c r="I67" s="520">
        <f>+I65</f>
        <v>1611184.9610000001</v>
      </c>
      <c r="J67" s="520">
        <f>+J65</f>
        <v>1559564.298</v>
      </c>
      <c r="K67" s="561"/>
    </row>
    <row r="68" spans="1:11" ht="15">
      <c r="A68" s="528"/>
      <c r="B68" s="529"/>
      <c r="C68" s="530" t="s">
        <v>689</v>
      </c>
      <c r="D68" s="529" t="str">
        <f>""</f>
        <v/>
      </c>
      <c r="E68" s="529"/>
      <c r="F68" s="534"/>
      <c r="G68" s="513"/>
      <c r="H68" s="513"/>
      <c r="I68" s="513"/>
      <c r="J68" s="513"/>
      <c r="K68" s="561"/>
    </row>
    <row r="69" spans="1:11" ht="15">
      <c r="A69" s="528"/>
      <c r="B69" s="529"/>
      <c r="C69" s="530" t="str">
        <f>"Chi phí chung (T x "&amp;[4]HSXL!C$14&amp;")"</f>
        <v>Chi phí chung (T x 4,8%)</v>
      </c>
      <c r="D69" s="529" t="s">
        <v>205</v>
      </c>
      <c r="E69" s="529"/>
      <c r="F69" s="534" t="str">
        <f>[4]HSXL!C$14</f>
        <v>4,8%</v>
      </c>
      <c r="G69" s="513"/>
      <c r="H69" s="513"/>
      <c r="I69" s="513">
        <f>I67*[4]HSXL!D$14</f>
        <v>77336.878128000011</v>
      </c>
      <c r="J69" s="513"/>
      <c r="K69" s="561"/>
    </row>
    <row r="70" spans="1:11" ht="30">
      <c r="A70" s="528"/>
      <c r="B70" s="529"/>
      <c r="C70" s="530" t="str">
        <f>"Chi phí nhà tạm để ở và điều hành thi công (T x "&amp;[4]HSXL!C$18&amp;")"</f>
        <v>Chi phí nhà tạm để ở và điều hành thi công (T x 0,95%)</v>
      </c>
      <c r="D70" s="529" t="s">
        <v>690</v>
      </c>
      <c r="E70" s="529"/>
      <c r="F70" s="534" t="str">
        <f>[4]HSXL!C$18</f>
        <v>0,95%</v>
      </c>
      <c r="G70" s="513"/>
      <c r="H70" s="513"/>
      <c r="I70" s="513">
        <f>I67*[4]HSXL!D$18</f>
        <v>15306.257129500002</v>
      </c>
      <c r="J70" s="513"/>
      <c r="K70" s="561"/>
    </row>
    <row r="71" spans="1:11" ht="45">
      <c r="A71" s="528"/>
      <c r="B71" s="529"/>
      <c r="C71" s="530" t="str">
        <f>"Chi phí một số công việc không xác định được khối lượng từ thiết kế (T x "&amp;[4]HSXL!C$13&amp;")"</f>
        <v>Chi phí một số công việc không xác định được khối lượng từ thiết kế (T x 2%)</v>
      </c>
      <c r="D71" s="529" t="s">
        <v>19</v>
      </c>
      <c r="E71" s="529"/>
      <c r="F71" s="534" t="str">
        <f>[4]HSXL!C$13</f>
        <v>2%</v>
      </c>
      <c r="G71" s="513"/>
      <c r="H71" s="513"/>
      <c r="I71" s="513">
        <f>I67*[4]HSXL!D$13</f>
        <v>32223.699220000002</v>
      </c>
      <c r="J71" s="513"/>
      <c r="K71" s="561"/>
    </row>
    <row r="72" spans="1:11" ht="28.5">
      <c r="A72" s="532"/>
      <c r="B72" s="518"/>
      <c r="C72" s="519" t="s">
        <v>691</v>
      </c>
      <c r="D72" s="518" t="s">
        <v>692</v>
      </c>
      <c r="E72" s="518"/>
      <c r="F72" s="533"/>
      <c r="G72" s="520"/>
      <c r="H72" s="520"/>
      <c r="I72" s="520">
        <f>SUM(I69:I71)</f>
        <v>124866.83447750003</v>
      </c>
      <c r="J72" s="520"/>
      <c r="K72" s="561"/>
    </row>
    <row r="73" spans="1:11" ht="30">
      <c r="A73" s="528"/>
      <c r="B73" s="529"/>
      <c r="C73" s="530" t="str">
        <f>"THU NHẬP CHỊU THUẾ TÍNH TRƯỚC (T+GT) x "&amp;[4]HSXL!C$16</f>
        <v>THU NHẬP CHỊU THUẾ TÍNH TRƯỚC (T+GT) x 5,5%</v>
      </c>
      <c r="D73" s="529" t="s">
        <v>693</v>
      </c>
      <c r="E73" s="529"/>
      <c r="F73" s="534" t="str">
        <f>[4]HSXL!C$16</f>
        <v>5,5%</v>
      </c>
      <c r="G73" s="513"/>
      <c r="H73" s="513"/>
      <c r="I73" s="513">
        <f>(I67+I72)*[4]HSXL!D$16</f>
        <v>95482.848751262514</v>
      </c>
      <c r="J73" s="513"/>
      <c r="K73" s="561"/>
    </row>
    <row r="74" spans="1:11" ht="30">
      <c r="A74" s="528"/>
      <c r="B74" s="529"/>
      <c r="C74" s="530" t="s">
        <v>694</v>
      </c>
      <c r="D74" s="529" t="s">
        <v>457</v>
      </c>
      <c r="E74" s="529"/>
      <c r="F74" s="534"/>
      <c r="G74" s="513"/>
      <c r="H74" s="513"/>
      <c r="I74" s="513">
        <f>I67+I72+I73</f>
        <v>1831534.6442287627</v>
      </c>
      <c r="J74" s="513"/>
      <c r="K74" s="561"/>
    </row>
    <row r="75" spans="1:11" ht="30">
      <c r="A75" s="528"/>
      <c r="B75" s="529"/>
      <c r="C75" s="530" t="str">
        <f>"THUẾ GIÁ TRỊ GIA TĂNG (G x "&amp;[4]HSXL!C$17&amp;")"</f>
        <v>THUẾ GIÁ TRỊ GIA TĂNG (G x 10%)</v>
      </c>
      <c r="D75" s="529" t="s">
        <v>695</v>
      </c>
      <c r="E75" s="529"/>
      <c r="F75" s="535">
        <f>[4]HSXL!D$17</f>
        <v>0.1</v>
      </c>
      <c r="G75" s="513"/>
      <c r="H75" s="513"/>
      <c r="I75" s="513">
        <f>F75*I74</f>
        <v>183153.46442287628</v>
      </c>
      <c r="J75" s="513"/>
      <c r="K75" s="561"/>
    </row>
    <row r="76" spans="1:11" ht="28.5">
      <c r="A76" s="536"/>
      <c r="B76" s="537"/>
      <c r="C76" s="538" t="s">
        <v>696</v>
      </c>
      <c r="D76" s="537" t="s">
        <v>697</v>
      </c>
      <c r="E76" s="537"/>
      <c r="F76" s="539"/>
      <c r="G76" s="540"/>
      <c r="H76" s="540"/>
      <c r="I76" s="541">
        <f>I74+I75</f>
        <v>2014688.108651639</v>
      </c>
      <c r="J76" s="540">
        <f>J67</f>
        <v>1559564.298</v>
      </c>
      <c r="K76" s="563"/>
    </row>
    <row r="77" spans="1:11" ht="42.75">
      <c r="A77" s="517">
        <f>'[4]Công trình'!A12</f>
        <v>6</v>
      </c>
      <c r="B77" s="518" t="str">
        <f>'[4]Công trình'!E12</f>
        <v>AB.42132</v>
      </c>
      <c r="C77" s="519" t="str">
        <f>'[4]Công trình'!F12</f>
        <v>Vận chuyển đất bằng ô tô tự đổ 10T 4km tiếp theo trong phạm vi &lt;= 5km, đất cấp II</v>
      </c>
      <c r="D77" s="518" t="str">
        <f>'[4]Công trình'!G12</f>
        <v>100m3</v>
      </c>
      <c r="E77" s="518"/>
      <c r="F77" s="519">
        <v>1</v>
      </c>
      <c r="G77" s="520"/>
      <c r="H77" s="520"/>
      <c r="I77" s="520"/>
      <c r="J77" s="520"/>
      <c r="K77" s="561"/>
    </row>
    <row r="78" spans="1:11" ht="15">
      <c r="A78" s="522"/>
      <c r="B78" s="523"/>
      <c r="C78" s="524" t="s">
        <v>687</v>
      </c>
      <c r="D78" s="523"/>
      <c r="E78" s="525"/>
      <c r="F78" s="526"/>
      <c r="G78" s="527"/>
      <c r="H78" s="527"/>
      <c r="I78" s="527">
        <f>I79</f>
        <v>2463918.7439999999</v>
      </c>
      <c r="J78" s="527">
        <f>J79</f>
        <v>2384977.392</v>
      </c>
      <c r="K78" s="561"/>
    </row>
    <row r="79" spans="1:11" ht="105">
      <c r="A79" s="528"/>
      <c r="B79" s="529" t="str">
        <f>'[4]Giá tháng'!B$11</f>
        <v>M106.0204</v>
      </c>
      <c r="C79" s="530" t="str">
        <f>'[4]Giá tháng'!C$11</f>
        <v>Ô tô tự đổ - trọng tải : 10,0 T</v>
      </c>
      <c r="D79" s="529" t="str">
        <f>'[4]Giá tháng'!D$11</f>
        <v>ca</v>
      </c>
      <c r="E79" s="531">
        <v>4</v>
      </c>
      <c r="F79" s="512">
        <f>[4]HaoPhiVatTu!F$32</f>
        <v>0.29399999999999998</v>
      </c>
      <c r="G79" s="513">
        <f>'[4]Tổng hợp VT'!O$12</f>
        <v>2095169</v>
      </c>
      <c r="H79" s="513">
        <v>2028042</v>
      </c>
      <c r="I79" s="513">
        <f>F79*G79*E79</f>
        <v>2463918.7439999999</v>
      </c>
      <c r="J79" s="513">
        <f>E79*F79*H79</f>
        <v>2384977.392</v>
      </c>
      <c r="K79" s="562" t="s">
        <v>716</v>
      </c>
    </row>
    <row r="80" spans="1:11" ht="28.5">
      <c r="A80" s="532"/>
      <c r="B80" s="518"/>
      <c r="C80" s="519" t="s">
        <v>688</v>
      </c>
      <c r="D80" s="518" t="s">
        <v>37</v>
      </c>
      <c r="E80" s="518"/>
      <c r="F80" s="533"/>
      <c r="G80" s="520"/>
      <c r="H80" s="520"/>
      <c r="I80" s="520">
        <f>+I78</f>
        <v>2463918.7439999999</v>
      </c>
      <c r="J80" s="520">
        <f>+J78</f>
        <v>2384977.392</v>
      </c>
      <c r="K80" s="561"/>
    </row>
    <row r="81" spans="1:11" ht="15">
      <c r="A81" s="528"/>
      <c r="B81" s="529"/>
      <c r="C81" s="530" t="s">
        <v>689</v>
      </c>
      <c r="D81" s="529" t="str">
        <f>""</f>
        <v/>
      </c>
      <c r="E81" s="529"/>
      <c r="F81" s="534"/>
      <c r="G81" s="513"/>
      <c r="H81" s="513"/>
      <c r="I81" s="513"/>
      <c r="J81" s="513"/>
      <c r="K81" s="561"/>
    </row>
    <row r="82" spans="1:11" ht="15">
      <c r="A82" s="528"/>
      <c r="B82" s="529"/>
      <c r="C82" s="530" t="str">
        <f>"Chi phí chung (T x "&amp;[4]HSXL!C$14&amp;")"</f>
        <v>Chi phí chung (T x 4,8%)</v>
      </c>
      <c r="D82" s="529" t="s">
        <v>205</v>
      </c>
      <c r="E82" s="529"/>
      <c r="F82" s="534" t="str">
        <f>[4]HSXL!C$14</f>
        <v>4,8%</v>
      </c>
      <c r="G82" s="513"/>
      <c r="H82" s="513"/>
      <c r="I82" s="513">
        <f>I80*[4]HSXL!D$14</f>
        <v>118268.099712</v>
      </c>
      <c r="J82" s="513"/>
      <c r="K82" s="561"/>
    </row>
    <row r="83" spans="1:11" ht="30">
      <c r="A83" s="528"/>
      <c r="B83" s="529"/>
      <c r="C83" s="530" t="str">
        <f>"Chi phí nhà tạm để ở và điều hành thi công (T x "&amp;[4]HSXL!C$18&amp;")"</f>
        <v>Chi phí nhà tạm để ở và điều hành thi công (T x 0,95%)</v>
      </c>
      <c r="D83" s="529" t="s">
        <v>690</v>
      </c>
      <c r="E83" s="529"/>
      <c r="F83" s="534" t="str">
        <f>[4]HSXL!C$18</f>
        <v>0,95%</v>
      </c>
      <c r="G83" s="513"/>
      <c r="H83" s="513"/>
      <c r="I83" s="513">
        <f>I80*[4]HSXL!D$18</f>
        <v>23407.228068</v>
      </c>
      <c r="J83" s="513"/>
      <c r="K83" s="561"/>
    </row>
    <row r="84" spans="1:11" ht="45">
      <c r="A84" s="528"/>
      <c r="B84" s="529"/>
      <c r="C84" s="530" t="str">
        <f>"Chi phí một số công việc không xác định được khối lượng từ thiết kế (T x "&amp;[4]HSXL!C$13&amp;")"</f>
        <v>Chi phí một số công việc không xác định được khối lượng từ thiết kế (T x 2%)</v>
      </c>
      <c r="D84" s="529" t="s">
        <v>19</v>
      </c>
      <c r="E84" s="529"/>
      <c r="F84" s="534" t="str">
        <f>[4]HSXL!C$13</f>
        <v>2%</v>
      </c>
      <c r="G84" s="513"/>
      <c r="H84" s="513"/>
      <c r="I84" s="513">
        <f>I80*[4]HSXL!D$13</f>
        <v>49278.374880000003</v>
      </c>
      <c r="J84" s="513"/>
      <c r="K84" s="561"/>
    </row>
    <row r="85" spans="1:11" ht="28.5">
      <c r="A85" s="532"/>
      <c r="B85" s="518"/>
      <c r="C85" s="519" t="s">
        <v>691</v>
      </c>
      <c r="D85" s="518" t="s">
        <v>692</v>
      </c>
      <c r="E85" s="518"/>
      <c r="F85" s="533"/>
      <c r="G85" s="520"/>
      <c r="H85" s="520"/>
      <c r="I85" s="520">
        <f>SUM(I82:I84)</f>
        <v>190953.70266000001</v>
      </c>
      <c r="J85" s="520"/>
      <c r="K85" s="561"/>
    </row>
    <row r="86" spans="1:11" ht="30">
      <c r="A86" s="528"/>
      <c r="B86" s="529"/>
      <c r="C86" s="530" t="str">
        <f>"THU NHẬP CHỊU THUẾ TÍNH TRƯỚC (T+GT) x "&amp;[4]HSXL!C$16</f>
        <v>THU NHẬP CHỊU THUẾ TÍNH TRƯỚC (T+GT) x 5,5%</v>
      </c>
      <c r="D86" s="529" t="s">
        <v>693</v>
      </c>
      <c r="E86" s="529"/>
      <c r="F86" s="534" t="str">
        <f>[4]HSXL!C$16</f>
        <v>5,5%</v>
      </c>
      <c r="G86" s="513"/>
      <c r="H86" s="513"/>
      <c r="I86" s="513">
        <f>(I80+I85)*[4]HSXL!D$16</f>
        <v>146017.9845663</v>
      </c>
      <c r="J86" s="513"/>
      <c r="K86" s="561"/>
    </row>
    <row r="87" spans="1:11" ht="30">
      <c r="A87" s="528"/>
      <c r="B87" s="529"/>
      <c r="C87" s="530" t="s">
        <v>694</v>
      </c>
      <c r="D87" s="529" t="s">
        <v>457</v>
      </c>
      <c r="E87" s="529"/>
      <c r="F87" s="534"/>
      <c r="G87" s="513"/>
      <c r="H87" s="513"/>
      <c r="I87" s="513">
        <f>I80+I85+I86</f>
        <v>2800890.4312263001</v>
      </c>
      <c r="J87" s="513"/>
      <c r="K87" s="561"/>
    </row>
    <row r="88" spans="1:11" ht="30">
      <c r="A88" s="528"/>
      <c r="B88" s="529"/>
      <c r="C88" s="530" t="str">
        <f>"THUẾ GIÁ TRỊ GIA TĂNG (G x "&amp;[4]HSXL!C$17&amp;")"</f>
        <v>THUẾ GIÁ TRỊ GIA TĂNG (G x 10%)</v>
      </c>
      <c r="D88" s="529" t="s">
        <v>695</v>
      </c>
      <c r="E88" s="529"/>
      <c r="F88" s="535">
        <f>[4]HSXL!D$17</f>
        <v>0.1</v>
      </c>
      <c r="G88" s="513"/>
      <c r="H88" s="513"/>
      <c r="I88" s="513">
        <f>F88*I87</f>
        <v>280089.04312263004</v>
      </c>
      <c r="J88" s="513"/>
      <c r="K88" s="561"/>
    </row>
    <row r="89" spans="1:11" ht="28.5">
      <c r="A89" s="536"/>
      <c r="B89" s="537"/>
      <c r="C89" s="538" t="s">
        <v>696</v>
      </c>
      <c r="D89" s="537" t="s">
        <v>697</v>
      </c>
      <c r="E89" s="537"/>
      <c r="F89" s="539"/>
      <c r="G89" s="540"/>
      <c r="H89" s="540"/>
      <c r="I89" s="541">
        <f>I87+I88</f>
        <v>3080979.4743489302</v>
      </c>
      <c r="J89" s="541">
        <f>J80</f>
        <v>2384977.392</v>
      </c>
      <c r="K89" s="563"/>
    </row>
    <row r="90" spans="1:11" ht="42.75">
      <c r="A90" s="543">
        <v>7</v>
      </c>
      <c r="B90" s="543" t="s">
        <v>698</v>
      </c>
      <c r="C90" s="542" t="s">
        <v>699</v>
      </c>
      <c r="D90" s="543" t="s">
        <v>681</v>
      </c>
      <c r="E90" s="543"/>
      <c r="F90" s="542">
        <v>1</v>
      </c>
      <c r="G90" s="544"/>
      <c r="H90" s="544"/>
      <c r="I90" s="545"/>
      <c r="J90" s="544"/>
      <c r="K90" s="564"/>
    </row>
    <row r="91" spans="1:11" ht="15">
      <c r="A91" s="546"/>
      <c r="B91" s="547"/>
      <c r="C91" s="514" t="s">
        <v>687</v>
      </c>
      <c r="D91" s="547"/>
      <c r="E91" s="548"/>
      <c r="F91" s="549"/>
      <c r="G91" s="550"/>
      <c r="H91" s="550"/>
      <c r="I91" s="550">
        <f>+I92</f>
        <v>148337.96519999998</v>
      </c>
      <c r="J91" s="550">
        <f>+J92</f>
        <v>143585.37359999996</v>
      </c>
      <c r="K91" s="565"/>
    </row>
    <row r="92" spans="1:11" ht="105">
      <c r="A92" s="546"/>
      <c r="B92" s="547" t="s">
        <v>700</v>
      </c>
      <c r="C92" s="514" t="s">
        <v>701</v>
      </c>
      <c r="D92" s="547" t="s">
        <v>298</v>
      </c>
      <c r="E92" s="548">
        <v>0.3</v>
      </c>
      <c r="F92" s="552">
        <f>[4]HaoPhiVatTu!F35</f>
        <v>0.23599999999999999</v>
      </c>
      <c r="G92" s="553">
        <f>+G79</f>
        <v>2095169</v>
      </c>
      <c r="H92" s="513">
        <v>2028042</v>
      </c>
      <c r="I92" s="553">
        <f>+F92*G92*E92</f>
        <v>148337.96519999998</v>
      </c>
      <c r="J92" s="513">
        <f>E92*F92*H92</f>
        <v>143585.37359999996</v>
      </c>
      <c r="K92" s="562" t="s">
        <v>717</v>
      </c>
    </row>
    <row r="93" spans="1:11" ht="15">
      <c r="A93" s="546"/>
      <c r="B93" s="547"/>
      <c r="C93" s="514" t="s">
        <v>688</v>
      </c>
      <c r="D93" s="547" t="s">
        <v>37</v>
      </c>
      <c r="E93" s="548"/>
      <c r="F93" s="549"/>
      <c r="G93" s="550"/>
      <c r="H93" s="550"/>
      <c r="I93" s="550">
        <f>+I91</f>
        <v>148337.96519999998</v>
      </c>
      <c r="J93" s="550">
        <f>+J91</f>
        <v>143585.37359999996</v>
      </c>
      <c r="K93" s="565"/>
    </row>
    <row r="94" spans="1:11" ht="15">
      <c r="A94" s="546"/>
      <c r="B94" s="547"/>
      <c r="C94" s="514" t="s">
        <v>689</v>
      </c>
      <c r="D94" s="547" t="s">
        <v>702</v>
      </c>
      <c r="E94" s="548"/>
      <c r="F94" s="549"/>
      <c r="G94" s="550"/>
      <c r="H94" s="550"/>
      <c r="I94" s="551"/>
      <c r="J94" s="550"/>
      <c r="K94" s="565"/>
    </row>
    <row r="95" spans="1:11" ht="15">
      <c r="A95" s="546"/>
      <c r="B95" s="547"/>
      <c r="C95" s="514" t="s">
        <v>703</v>
      </c>
      <c r="D95" s="547" t="s">
        <v>205</v>
      </c>
      <c r="E95" s="548"/>
      <c r="F95" s="549" t="s">
        <v>704</v>
      </c>
      <c r="G95" s="550"/>
      <c r="H95" s="550"/>
      <c r="I95" s="553">
        <f>I93*[4]HSXL!D$14</f>
        <v>7120.2223295999993</v>
      </c>
      <c r="J95" s="550"/>
      <c r="K95" s="565"/>
    </row>
    <row r="96" spans="1:11" ht="30">
      <c r="A96" s="546"/>
      <c r="B96" s="547"/>
      <c r="C96" s="514" t="s">
        <v>705</v>
      </c>
      <c r="D96" s="547" t="s">
        <v>690</v>
      </c>
      <c r="E96" s="548"/>
      <c r="F96" s="549" t="s">
        <v>706</v>
      </c>
      <c r="G96" s="550"/>
      <c r="H96" s="550"/>
      <c r="I96" s="553">
        <f>I93*[4]HSXL!D$18</f>
        <v>1409.2106693999997</v>
      </c>
      <c r="J96" s="550"/>
      <c r="K96" s="565"/>
    </row>
    <row r="97" spans="1:11" ht="45">
      <c r="A97" s="546"/>
      <c r="B97" s="547"/>
      <c r="C97" s="514" t="s">
        <v>707</v>
      </c>
      <c r="D97" s="547" t="s">
        <v>19</v>
      </c>
      <c r="E97" s="548"/>
      <c r="F97" s="549" t="s">
        <v>708</v>
      </c>
      <c r="G97" s="550"/>
      <c r="H97" s="550"/>
      <c r="I97" s="553">
        <f>I93*[4]HSXL!D$13</f>
        <v>2966.7593039999997</v>
      </c>
      <c r="J97" s="550"/>
      <c r="K97" s="565"/>
    </row>
    <row r="98" spans="1:11" ht="15">
      <c r="A98" s="546"/>
      <c r="B98" s="547"/>
      <c r="C98" s="514" t="s">
        <v>691</v>
      </c>
      <c r="D98" s="547" t="s">
        <v>692</v>
      </c>
      <c r="E98" s="548"/>
      <c r="F98" s="549"/>
      <c r="G98" s="550"/>
      <c r="H98" s="550"/>
      <c r="I98" s="550">
        <f>SUM(I95:I97)</f>
        <v>11496.192302999998</v>
      </c>
      <c r="J98" s="550"/>
      <c r="K98" s="565"/>
    </row>
    <row r="99" spans="1:11" ht="30">
      <c r="A99" s="546"/>
      <c r="B99" s="547"/>
      <c r="C99" s="514" t="s">
        <v>709</v>
      </c>
      <c r="D99" s="547" t="s">
        <v>693</v>
      </c>
      <c r="E99" s="548"/>
      <c r="F99" s="549" t="s">
        <v>710</v>
      </c>
      <c r="G99" s="550"/>
      <c r="H99" s="550"/>
      <c r="I99" s="553">
        <f>(I93+I98)*[4]HSXL!D$16</f>
        <v>8790.878662664998</v>
      </c>
      <c r="J99" s="550"/>
      <c r="K99" s="565"/>
    </row>
    <row r="100" spans="1:11" ht="30">
      <c r="A100" s="546"/>
      <c r="B100" s="547"/>
      <c r="C100" s="514" t="s">
        <v>694</v>
      </c>
      <c r="D100" s="547" t="s">
        <v>457</v>
      </c>
      <c r="E100" s="548"/>
      <c r="F100" s="549"/>
      <c r="G100" s="550"/>
      <c r="H100" s="550"/>
      <c r="I100" s="553">
        <f>I93+I98+I99</f>
        <v>168625.03616566496</v>
      </c>
      <c r="J100" s="550"/>
      <c r="K100" s="565"/>
    </row>
    <row r="101" spans="1:11" ht="30">
      <c r="A101" s="546"/>
      <c r="B101" s="547"/>
      <c r="C101" s="514" t="s">
        <v>711</v>
      </c>
      <c r="D101" s="547" t="s">
        <v>695</v>
      </c>
      <c r="E101" s="548"/>
      <c r="F101" s="549">
        <v>0.1</v>
      </c>
      <c r="G101" s="550"/>
      <c r="H101" s="550"/>
      <c r="I101" s="553">
        <f>F101*I100</f>
        <v>16862.503616566497</v>
      </c>
      <c r="J101" s="550"/>
      <c r="K101" s="565"/>
    </row>
    <row r="102" spans="1:11" ht="15">
      <c r="A102" s="554"/>
      <c r="B102" s="555"/>
      <c r="C102" s="515" t="s">
        <v>696</v>
      </c>
      <c r="D102" s="555" t="s">
        <v>697</v>
      </c>
      <c r="E102" s="556"/>
      <c r="F102" s="557"/>
      <c r="G102" s="558"/>
      <c r="H102" s="558"/>
      <c r="I102" s="559">
        <f>I100+I101</f>
        <v>185487.53978223147</v>
      </c>
      <c r="J102" s="558">
        <f>J93</f>
        <v>143585.37359999996</v>
      </c>
      <c r="K102" s="566"/>
    </row>
  </sheetData>
  <mergeCells count="9">
    <mergeCell ref="A4:A5"/>
    <mergeCell ref="G4:H4"/>
    <mergeCell ref="I4:J4"/>
    <mergeCell ref="K4:K5"/>
    <mergeCell ref="F4:F5"/>
    <mergeCell ref="E4:E5"/>
    <mergeCell ref="D4:D5"/>
    <mergeCell ref="C4:C5"/>
    <mergeCell ref="B4:B5"/>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170" zoomScaleNormal="170" workbookViewId="0">
      <selection activeCell="F10" sqref="F10"/>
    </sheetView>
  </sheetViews>
  <sheetFormatPr defaultColWidth="7.5" defaultRowHeight="10.5"/>
  <cols>
    <col min="1" max="1" width="7.375" style="1" customWidth="1"/>
    <col min="2" max="2" width="39.75" style="1" customWidth="1"/>
    <col min="3" max="3" width="8.375" style="1" bestFit="1" customWidth="1"/>
    <col min="4" max="4" width="11.125" style="1" customWidth="1"/>
    <col min="5" max="5" width="11.625" style="1" bestFit="1" customWidth="1"/>
    <col min="6" max="7" width="11" style="1" customWidth="1"/>
    <col min="8" max="8" width="12" style="1" customWidth="1"/>
    <col min="9" max="9" width="35.375" style="1" customWidth="1"/>
    <col min="10" max="10" width="14.375" style="1" customWidth="1"/>
    <col min="11" max="251" width="7.5" style="1"/>
    <col min="252" max="252" width="4.5" style="1" bestFit="1" customWidth="1"/>
    <col min="253" max="253" width="9.5" style="1" customWidth="1"/>
    <col min="254" max="254" width="36.375" style="1" customWidth="1"/>
    <col min="255" max="255" width="8.75" style="1" customWidth="1"/>
    <col min="256" max="256" width="11.375" style="1" customWidth="1"/>
    <col min="257" max="257" width="14.5" style="1" customWidth="1"/>
    <col min="258" max="258" width="6.875" style="1" customWidth="1"/>
    <col min="259" max="259" width="6.375" style="1" customWidth="1"/>
    <col min="260" max="260" width="11.875" style="1" customWidth="1"/>
    <col min="261" max="262" width="25" style="1" customWidth="1"/>
    <col min="263" max="507" width="7.5" style="1"/>
    <col min="508" max="508" width="4.5" style="1" bestFit="1" customWidth="1"/>
    <col min="509" max="509" width="9.5" style="1" customWidth="1"/>
    <col min="510" max="510" width="36.375" style="1" customWidth="1"/>
    <col min="511" max="511" width="8.75" style="1" customWidth="1"/>
    <col min="512" max="512" width="11.375" style="1" customWidth="1"/>
    <col min="513" max="513" width="14.5" style="1" customWidth="1"/>
    <col min="514" max="514" width="6.875" style="1" customWidth="1"/>
    <col min="515" max="515" width="6.375" style="1" customWidth="1"/>
    <col min="516" max="516" width="11.875" style="1" customWidth="1"/>
    <col min="517" max="518" width="25" style="1" customWidth="1"/>
    <col min="519" max="763" width="7.5" style="1"/>
    <col min="764" max="764" width="4.5" style="1" bestFit="1" customWidth="1"/>
    <col min="765" max="765" width="9.5" style="1" customWidth="1"/>
    <col min="766" max="766" width="36.375" style="1" customWidth="1"/>
    <col min="767" max="767" width="8.75" style="1" customWidth="1"/>
    <col min="768" max="768" width="11.375" style="1" customWidth="1"/>
    <col min="769" max="769" width="14.5" style="1" customWidth="1"/>
    <col min="770" max="770" width="6.875" style="1" customWidth="1"/>
    <col min="771" max="771" width="6.375" style="1" customWidth="1"/>
    <col min="772" max="772" width="11.875" style="1" customWidth="1"/>
    <col min="773" max="774" width="25" style="1" customWidth="1"/>
    <col min="775" max="1019" width="7.5" style="1"/>
    <col min="1020" max="1020" width="4.5" style="1" bestFit="1" customWidth="1"/>
    <col min="1021" max="1021" width="9.5" style="1" customWidth="1"/>
    <col min="1022" max="1022" width="36.375" style="1" customWidth="1"/>
    <col min="1023" max="1023" width="8.75" style="1" customWidth="1"/>
    <col min="1024" max="1024" width="11.375" style="1" customWidth="1"/>
    <col min="1025" max="1025" width="14.5" style="1" customWidth="1"/>
    <col min="1026" max="1026" width="6.875" style="1" customWidth="1"/>
    <col min="1027" max="1027" width="6.375" style="1" customWidth="1"/>
    <col min="1028" max="1028" width="11.875" style="1" customWidth="1"/>
    <col min="1029" max="1030" width="25" style="1" customWidth="1"/>
    <col min="1031" max="1275" width="7.5" style="1"/>
    <col min="1276" max="1276" width="4.5" style="1" bestFit="1" customWidth="1"/>
    <col min="1277" max="1277" width="9.5" style="1" customWidth="1"/>
    <col min="1278" max="1278" width="36.375" style="1" customWidth="1"/>
    <col min="1279" max="1279" width="8.75" style="1" customWidth="1"/>
    <col min="1280" max="1280" width="11.375" style="1" customWidth="1"/>
    <col min="1281" max="1281" width="14.5" style="1" customWidth="1"/>
    <col min="1282" max="1282" width="6.875" style="1" customWidth="1"/>
    <col min="1283" max="1283" width="6.375" style="1" customWidth="1"/>
    <col min="1284" max="1284" width="11.875" style="1" customWidth="1"/>
    <col min="1285" max="1286" width="25" style="1" customWidth="1"/>
    <col min="1287" max="1531" width="7.5" style="1"/>
    <col min="1532" max="1532" width="4.5" style="1" bestFit="1" customWidth="1"/>
    <col min="1533" max="1533" width="9.5" style="1" customWidth="1"/>
    <col min="1534" max="1534" width="36.375" style="1" customWidth="1"/>
    <col min="1535" max="1535" width="8.75" style="1" customWidth="1"/>
    <col min="1536" max="1536" width="11.375" style="1" customWidth="1"/>
    <col min="1537" max="1537" width="14.5" style="1" customWidth="1"/>
    <col min="1538" max="1538" width="6.875" style="1" customWidth="1"/>
    <col min="1539" max="1539" width="6.375" style="1" customWidth="1"/>
    <col min="1540" max="1540" width="11.875" style="1" customWidth="1"/>
    <col min="1541" max="1542" width="25" style="1" customWidth="1"/>
    <col min="1543" max="1787" width="7.5" style="1"/>
    <col min="1788" max="1788" width="4.5" style="1" bestFit="1" customWidth="1"/>
    <col min="1789" max="1789" width="9.5" style="1" customWidth="1"/>
    <col min="1790" max="1790" width="36.375" style="1" customWidth="1"/>
    <col min="1791" max="1791" width="8.75" style="1" customWidth="1"/>
    <col min="1792" max="1792" width="11.375" style="1" customWidth="1"/>
    <col min="1793" max="1793" width="14.5" style="1" customWidth="1"/>
    <col min="1794" max="1794" width="6.875" style="1" customWidth="1"/>
    <col min="1795" max="1795" width="6.375" style="1" customWidth="1"/>
    <col min="1796" max="1796" width="11.875" style="1" customWidth="1"/>
    <col min="1797" max="1798" width="25" style="1" customWidth="1"/>
    <col min="1799" max="2043" width="7.5" style="1"/>
    <col min="2044" max="2044" width="4.5" style="1" bestFit="1" customWidth="1"/>
    <col min="2045" max="2045" width="9.5" style="1" customWidth="1"/>
    <col min="2046" max="2046" width="36.375" style="1" customWidth="1"/>
    <col min="2047" max="2047" width="8.75" style="1" customWidth="1"/>
    <col min="2048" max="2048" width="11.375" style="1" customWidth="1"/>
    <col min="2049" max="2049" width="14.5" style="1" customWidth="1"/>
    <col min="2050" max="2050" width="6.875" style="1" customWidth="1"/>
    <col min="2051" max="2051" width="6.375" style="1" customWidth="1"/>
    <col min="2052" max="2052" width="11.875" style="1" customWidth="1"/>
    <col min="2053" max="2054" width="25" style="1" customWidth="1"/>
    <col min="2055" max="2299" width="7.5" style="1"/>
    <col min="2300" max="2300" width="4.5" style="1" bestFit="1" customWidth="1"/>
    <col min="2301" max="2301" width="9.5" style="1" customWidth="1"/>
    <col min="2302" max="2302" width="36.375" style="1" customWidth="1"/>
    <col min="2303" max="2303" width="8.75" style="1" customWidth="1"/>
    <col min="2304" max="2304" width="11.375" style="1" customWidth="1"/>
    <col min="2305" max="2305" width="14.5" style="1" customWidth="1"/>
    <col min="2306" max="2306" width="6.875" style="1" customWidth="1"/>
    <col min="2307" max="2307" width="6.375" style="1" customWidth="1"/>
    <col min="2308" max="2308" width="11.875" style="1" customWidth="1"/>
    <col min="2309" max="2310" width="25" style="1" customWidth="1"/>
    <col min="2311" max="2555" width="7.5" style="1"/>
    <col min="2556" max="2556" width="4.5" style="1" bestFit="1" customWidth="1"/>
    <col min="2557" max="2557" width="9.5" style="1" customWidth="1"/>
    <col min="2558" max="2558" width="36.375" style="1" customWidth="1"/>
    <col min="2559" max="2559" width="8.75" style="1" customWidth="1"/>
    <col min="2560" max="2560" width="11.375" style="1" customWidth="1"/>
    <col min="2561" max="2561" width="14.5" style="1" customWidth="1"/>
    <col min="2562" max="2562" width="6.875" style="1" customWidth="1"/>
    <col min="2563" max="2563" width="6.375" style="1" customWidth="1"/>
    <col min="2564" max="2564" width="11.875" style="1" customWidth="1"/>
    <col min="2565" max="2566" width="25" style="1" customWidth="1"/>
    <col min="2567" max="2811" width="7.5" style="1"/>
    <col min="2812" max="2812" width="4.5" style="1" bestFit="1" customWidth="1"/>
    <col min="2813" max="2813" width="9.5" style="1" customWidth="1"/>
    <col min="2814" max="2814" width="36.375" style="1" customWidth="1"/>
    <col min="2815" max="2815" width="8.75" style="1" customWidth="1"/>
    <col min="2816" max="2816" width="11.375" style="1" customWidth="1"/>
    <col min="2817" max="2817" width="14.5" style="1" customWidth="1"/>
    <col min="2818" max="2818" width="6.875" style="1" customWidth="1"/>
    <col min="2819" max="2819" width="6.375" style="1" customWidth="1"/>
    <col min="2820" max="2820" width="11.875" style="1" customWidth="1"/>
    <col min="2821" max="2822" width="25" style="1" customWidth="1"/>
    <col min="2823" max="3067" width="7.5" style="1"/>
    <col min="3068" max="3068" width="4.5" style="1" bestFit="1" customWidth="1"/>
    <col min="3069" max="3069" width="9.5" style="1" customWidth="1"/>
    <col min="3070" max="3070" width="36.375" style="1" customWidth="1"/>
    <col min="3071" max="3071" width="8.75" style="1" customWidth="1"/>
    <col min="3072" max="3072" width="11.375" style="1" customWidth="1"/>
    <col min="3073" max="3073" width="14.5" style="1" customWidth="1"/>
    <col min="3074" max="3074" width="6.875" style="1" customWidth="1"/>
    <col min="3075" max="3075" width="6.375" style="1" customWidth="1"/>
    <col min="3076" max="3076" width="11.875" style="1" customWidth="1"/>
    <col min="3077" max="3078" width="25" style="1" customWidth="1"/>
    <col min="3079" max="3323" width="7.5" style="1"/>
    <col min="3324" max="3324" width="4.5" style="1" bestFit="1" customWidth="1"/>
    <col min="3325" max="3325" width="9.5" style="1" customWidth="1"/>
    <col min="3326" max="3326" width="36.375" style="1" customWidth="1"/>
    <col min="3327" max="3327" width="8.75" style="1" customWidth="1"/>
    <col min="3328" max="3328" width="11.375" style="1" customWidth="1"/>
    <col min="3329" max="3329" width="14.5" style="1" customWidth="1"/>
    <col min="3330" max="3330" width="6.875" style="1" customWidth="1"/>
    <col min="3331" max="3331" width="6.375" style="1" customWidth="1"/>
    <col min="3332" max="3332" width="11.875" style="1" customWidth="1"/>
    <col min="3333" max="3334" width="25" style="1" customWidth="1"/>
    <col min="3335" max="3579" width="7.5" style="1"/>
    <col min="3580" max="3580" width="4.5" style="1" bestFit="1" customWidth="1"/>
    <col min="3581" max="3581" width="9.5" style="1" customWidth="1"/>
    <col min="3582" max="3582" width="36.375" style="1" customWidth="1"/>
    <col min="3583" max="3583" width="8.75" style="1" customWidth="1"/>
    <col min="3584" max="3584" width="11.375" style="1" customWidth="1"/>
    <col min="3585" max="3585" width="14.5" style="1" customWidth="1"/>
    <col min="3586" max="3586" width="6.875" style="1" customWidth="1"/>
    <col min="3587" max="3587" width="6.375" style="1" customWidth="1"/>
    <col min="3588" max="3588" width="11.875" style="1" customWidth="1"/>
    <col min="3589" max="3590" width="25" style="1" customWidth="1"/>
    <col min="3591" max="3835" width="7.5" style="1"/>
    <col min="3836" max="3836" width="4.5" style="1" bestFit="1" customWidth="1"/>
    <col min="3837" max="3837" width="9.5" style="1" customWidth="1"/>
    <col min="3838" max="3838" width="36.375" style="1" customWidth="1"/>
    <col min="3839" max="3839" width="8.75" style="1" customWidth="1"/>
    <col min="3840" max="3840" width="11.375" style="1" customWidth="1"/>
    <col min="3841" max="3841" width="14.5" style="1" customWidth="1"/>
    <col min="3842" max="3842" width="6.875" style="1" customWidth="1"/>
    <col min="3843" max="3843" width="6.375" style="1" customWidth="1"/>
    <col min="3844" max="3844" width="11.875" style="1" customWidth="1"/>
    <col min="3845" max="3846" width="25" style="1" customWidth="1"/>
    <col min="3847" max="4091" width="7.5" style="1"/>
    <col min="4092" max="4092" width="4.5" style="1" bestFit="1" customWidth="1"/>
    <col min="4093" max="4093" width="9.5" style="1" customWidth="1"/>
    <col min="4094" max="4094" width="36.375" style="1" customWidth="1"/>
    <col min="4095" max="4095" width="8.75" style="1" customWidth="1"/>
    <col min="4096" max="4096" width="11.375" style="1" customWidth="1"/>
    <col min="4097" max="4097" width="14.5" style="1" customWidth="1"/>
    <col min="4098" max="4098" width="6.875" style="1" customWidth="1"/>
    <col min="4099" max="4099" width="6.375" style="1" customWidth="1"/>
    <col min="4100" max="4100" width="11.875" style="1" customWidth="1"/>
    <col min="4101" max="4102" width="25" style="1" customWidth="1"/>
    <col min="4103" max="4347" width="7.5" style="1"/>
    <col min="4348" max="4348" width="4.5" style="1" bestFit="1" customWidth="1"/>
    <col min="4349" max="4349" width="9.5" style="1" customWidth="1"/>
    <col min="4350" max="4350" width="36.375" style="1" customWidth="1"/>
    <col min="4351" max="4351" width="8.75" style="1" customWidth="1"/>
    <col min="4352" max="4352" width="11.375" style="1" customWidth="1"/>
    <col min="4353" max="4353" width="14.5" style="1" customWidth="1"/>
    <col min="4354" max="4354" width="6.875" style="1" customWidth="1"/>
    <col min="4355" max="4355" width="6.375" style="1" customWidth="1"/>
    <col min="4356" max="4356" width="11.875" style="1" customWidth="1"/>
    <col min="4357" max="4358" width="25" style="1" customWidth="1"/>
    <col min="4359" max="4603" width="7.5" style="1"/>
    <col min="4604" max="4604" width="4.5" style="1" bestFit="1" customWidth="1"/>
    <col min="4605" max="4605" width="9.5" style="1" customWidth="1"/>
    <col min="4606" max="4606" width="36.375" style="1" customWidth="1"/>
    <col min="4607" max="4607" width="8.75" style="1" customWidth="1"/>
    <col min="4608" max="4608" width="11.375" style="1" customWidth="1"/>
    <col min="4609" max="4609" width="14.5" style="1" customWidth="1"/>
    <col min="4610" max="4610" width="6.875" style="1" customWidth="1"/>
    <col min="4611" max="4611" width="6.375" style="1" customWidth="1"/>
    <col min="4612" max="4612" width="11.875" style="1" customWidth="1"/>
    <col min="4613" max="4614" width="25" style="1" customWidth="1"/>
    <col min="4615" max="4859" width="7.5" style="1"/>
    <col min="4860" max="4860" width="4.5" style="1" bestFit="1" customWidth="1"/>
    <col min="4861" max="4861" width="9.5" style="1" customWidth="1"/>
    <col min="4862" max="4862" width="36.375" style="1" customWidth="1"/>
    <col min="4863" max="4863" width="8.75" style="1" customWidth="1"/>
    <col min="4864" max="4864" width="11.375" style="1" customWidth="1"/>
    <col min="4865" max="4865" width="14.5" style="1" customWidth="1"/>
    <col min="4866" max="4866" width="6.875" style="1" customWidth="1"/>
    <col min="4867" max="4867" width="6.375" style="1" customWidth="1"/>
    <col min="4868" max="4868" width="11.875" style="1" customWidth="1"/>
    <col min="4869" max="4870" width="25" style="1" customWidth="1"/>
    <col min="4871" max="5115" width="7.5" style="1"/>
    <col min="5116" max="5116" width="4.5" style="1" bestFit="1" customWidth="1"/>
    <col min="5117" max="5117" width="9.5" style="1" customWidth="1"/>
    <col min="5118" max="5118" width="36.375" style="1" customWidth="1"/>
    <col min="5119" max="5119" width="8.75" style="1" customWidth="1"/>
    <col min="5120" max="5120" width="11.375" style="1" customWidth="1"/>
    <col min="5121" max="5121" width="14.5" style="1" customWidth="1"/>
    <col min="5122" max="5122" width="6.875" style="1" customWidth="1"/>
    <col min="5123" max="5123" width="6.375" style="1" customWidth="1"/>
    <col min="5124" max="5124" width="11.875" style="1" customWidth="1"/>
    <col min="5125" max="5126" width="25" style="1" customWidth="1"/>
    <col min="5127" max="5371" width="7.5" style="1"/>
    <col min="5372" max="5372" width="4.5" style="1" bestFit="1" customWidth="1"/>
    <col min="5373" max="5373" width="9.5" style="1" customWidth="1"/>
    <col min="5374" max="5374" width="36.375" style="1" customWidth="1"/>
    <col min="5375" max="5375" width="8.75" style="1" customWidth="1"/>
    <col min="5376" max="5376" width="11.375" style="1" customWidth="1"/>
    <col min="5377" max="5377" width="14.5" style="1" customWidth="1"/>
    <col min="5378" max="5378" width="6.875" style="1" customWidth="1"/>
    <col min="5379" max="5379" width="6.375" style="1" customWidth="1"/>
    <col min="5380" max="5380" width="11.875" style="1" customWidth="1"/>
    <col min="5381" max="5382" width="25" style="1" customWidth="1"/>
    <col min="5383" max="5627" width="7.5" style="1"/>
    <col min="5628" max="5628" width="4.5" style="1" bestFit="1" customWidth="1"/>
    <col min="5629" max="5629" width="9.5" style="1" customWidth="1"/>
    <col min="5630" max="5630" width="36.375" style="1" customWidth="1"/>
    <col min="5631" max="5631" width="8.75" style="1" customWidth="1"/>
    <col min="5632" max="5632" width="11.375" style="1" customWidth="1"/>
    <col min="5633" max="5633" width="14.5" style="1" customWidth="1"/>
    <col min="5634" max="5634" width="6.875" style="1" customWidth="1"/>
    <col min="5635" max="5635" width="6.375" style="1" customWidth="1"/>
    <col min="5636" max="5636" width="11.875" style="1" customWidth="1"/>
    <col min="5637" max="5638" width="25" style="1" customWidth="1"/>
    <col min="5639" max="5883" width="7.5" style="1"/>
    <col min="5884" max="5884" width="4.5" style="1" bestFit="1" customWidth="1"/>
    <col min="5885" max="5885" width="9.5" style="1" customWidth="1"/>
    <col min="5886" max="5886" width="36.375" style="1" customWidth="1"/>
    <col min="5887" max="5887" width="8.75" style="1" customWidth="1"/>
    <col min="5888" max="5888" width="11.375" style="1" customWidth="1"/>
    <col min="5889" max="5889" width="14.5" style="1" customWidth="1"/>
    <col min="5890" max="5890" width="6.875" style="1" customWidth="1"/>
    <col min="5891" max="5891" width="6.375" style="1" customWidth="1"/>
    <col min="5892" max="5892" width="11.875" style="1" customWidth="1"/>
    <col min="5893" max="5894" width="25" style="1" customWidth="1"/>
    <col min="5895" max="6139" width="7.5" style="1"/>
    <col min="6140" max="6140" width="4.5" style="1" bestFit="1" customWidth="1"/>
    <col min="6141" max="6141" width="9.5" style="1" customWidth="1"/>
    <col min="6142" max="6142" width="36.375" style="1" customWidth="1"/>
    <col min="6143" max="6143" width="8.75" style="1" customWidth="1"/>
    <col min="6144" max="6144" width="11.375" style="1" customWidth="1"/>
    <col min="6145" max="6145" width="14.5" style="1" customWidth="1"/>
    <col min="6146" max="6146" width="6.875" style="1" customWidth="1"/>
    <col min="6147" max="6147" width="6.375" style="1" customWidth="1"/>
    <col min="6148" max="6148" width="11.875" style="1" customWidth="1"/>
    <col min="6149" max="6150" width="25" style="1" customWidth="1"/>
    <col min="6151" max="6395" width="7.5" style="1"/>
    <col min="6396" max="6396" width="4.5" style="1" bestFit="1" customWidth="1"/>
    <col min="6397" max="6397" width="9.5" style="1" customWidth="1"/>
    <col min="6398" max="6398" width="36.375" style="1" customWidth="1"/>
    <col min="6399" max="6399" width="8.75" style="1" customWidth="1"/>
    <col min="6400" max="6400" width="11.375" style="1" customWidth="1"/>
    <col min="6401" max="6401" width="14.5" style="1" customWidth="1"/>
    <col min="6402" max="6402" width="6.875" style="1" customWidth="1"/>
    <col min="6403" max="6403" width="6.375" style="1" customWidth="1"/>
    <col min="6404" max="6404" width="11.875" style="1" customWidth="1"/>
    <col min="6405" max="6406" width="25" style="1" customWidth="1"/>
    <col min="6407" max="6651" width="7.5" style="1"/>
    <col min="6652" max="6652" width="4.5" style="1" bestFit="1" customWidth="1"/>
    <col min="6653" max="6653" width="9.5" style="1" customWidth="1"/>
    <col min="6654" max="6654" width="36.375" style="1" customWidth="1"/>
    <col min="6655" max="6655" width="8.75" style="1" customWidth="1"/>
    <col min="6656" max="6656" width="11.375" style="1" customWidth="1"/>
    <col min="6657" max="6657" width="14.5" style="1" customWidth="1"/>
    <col min="6658" max="6658" width="6.875" style="1" customWidth="1"/>
    <col min="6659" max="6659" width="6.375" style="1" customWidth="1"/>
    <col min="6660" max="6660" width="11.875" style="1" customWidth="1"/>
    <col min="6661" max="6662" width="25" style="1" customWidth="1"/>
    <col min="6663" max="6907" width="7.5" style="1"/>
    <col min="6908" max="6908" width="4.5" style="1" bestFit="1" customWidth="1"/>
    <col min="6909" max="6909" width="9.5" style="1" customWidth="1"/>
    <col min="6910" max="6910" width="36.375" style="1" customWidth="1"/>
    <col min="6911" max="6911" width="8.75" style="1" customWidth="1"/>
    <col min="6912" max="6912" width="11.375" style="1" customWidth="1"/>
    <col min="6913" max="6913" width="14.5" style="1" customWidth="1"/>
    <col min="6914" max="6914" width="6.875" style="1" customWidth="1"/>
    <col min="6915" max="6915" width="6.375" style="1" customWidth="1"/>
    <col min="6916" max="6916" width="11.875" style="1" customWidth="1"/>
    <col min="6917" max="6918" width="25" style="1" customWidth="1"/>
    <col min="6919" max="7163" width="7.5" style="1"/>
    <col min="7164" max="7164" width="4.5" style="1" bestFit="1" customWidth="1"/>
    <col min="7165" max="7165" width="9.5" style="1" customWidth="1"/>
    <col min="7166" max="7166" width="36.375" style="1" customWidth="1"/>
    <col min="7167" max="7167" width="8.75" style="1" customWidth="1"/>
    <col min="7168" max="7168" width="11.375" style="1" customWidth="1"/>
    <col min="7169" max="7169" width="14.5" style="1" customWidth="1"/>
    <col min="7170" max="7170" width="6.875" style="1" customWidth="1"/>
    <col min="7171" max="7171" width="6.375" style="1" customWidth="1"/>
    <col min="7172" max="7172" width="11.875" style="1" customWidth="1"/>
    <col min="7173" max="7174" width="25" style="1" customWidth="1"/>
    <col min="7175" max="7419" width="7.5" style="1"/>
    <col min="7420" max="7420" width="4.5" style="1" bestFit="1" customWidth="1"/>
    <col min="7421" max="7421" width="9.5" style="1" customWidth="1"/>
    <col min="7422" max="7422" width="36.375" style="1" customWidth="1"/>
    <col min="7423" max="7423" width="8.75" style="1" customWidth="1"/>
    <col min="7424" max="7424" width="11.375" style="1" customWidth="1"/>
    <col min="7425" max="7425" width="14.5" style="1" customWidth="1"/>
    <col min="7426" max="7426" width="6.875" style="1" customWidth="1"/>
    <col min="7427" max="7427" width="6.375" style="1" customWidth="1"/>
    <col min="7428" max="7428" width="11.875" style="1" customWidth="1"/>
    <col min="7429" max="7430" width="25" style="1" customWidth="1"/>
    <col min="7431" max="7675" width="7.5" style="1"/>
    <col min="7676" max="7676" width="4.5" style="1" bestFit="1" customWidth="1"/>
    <col min="7677" max="7677" width="9.5" style="1" customWidth="1"/>
    <col min="7678" max="7678" width="36.375" style="1" customWidth="1"/>
    <col min="7679" max="7679" width="8.75" style="1" customWidth="1"/>
    <col min="7680" max="7680" width="11.375" style="1" customWidth="1"/>
    <col min="7681" max="7681" width="14.5" style="1" customWidth="1"/>
    <col min="7682" max="7682" width="6.875" style="1" customWidth="1"/>
    <col min="7683" max="7683" width="6.375" style="1" customWidth="1"/>
    <col min="7684" max="7684" width="11.875" style="1" customWidth="1"/>
    <col min="7685" max="7686" width="25" style="1" customWidth="1"/>
    <col min="7687" max="7931" width="7.5" style="1"/>
    <col min="7932" max="7932" width="4.5" style="1" bestFit="1" customWidth="1"/>
    <col min="7933" max="7933" width="9.5" style="1" customWidth="1"/>
    <col min="7934" max="7934" width="36.375" style="1" customWidth="1"/>
    <col min="7935" max="7935" width="8.75" style="1" customWidth="1"/>
    <col min="7936" max="7936" width="11.375" style="1" customWidth="1"/>
    <col min="7937" max="7937" width="14.5" style="1" customWidth="1"/>
    <col min="7938" max="7938" width="6.875" style="1" customWidth="1"/>
    <col min="7939" max="7939" width="6.375" style="1" customWidth="1"/>
    <col min="7940" max="7940" width="11.875" style="1" customWidth="1"/>
    <col min="7941" max="7942" width="25" style="1" customWidth="1"/>
    <col min="7943" max="8187" width="7.5" style="1"/>
    <col min="8188" max="8188" width="4.5" style="1" bestFit="1" customWidth="1"/>
    <col min="8189" max="8189" width="9.5" style="1" customWidth="1"/>
    <col min="8190" max="8190" width="36.375" style="1" customWidth="1"/>
    <col min="8191" max="8191" width="8.75" style="1" customWidth="1"/>
    <col min="8192" max="8192" width="11.375" style="1" customWidth="1"/>
    <col min="8193" max="8193" width="14.5" style="1" customWidth="1"/>
    <col min="8194" max="8194" width="6.875" style="1" customWidth="1"/>
    <col min="8195" max="8195" width="6.375" style="1" customWidth="1"/>
    <col min="8196" max="8196" width="11.875" style="1" customWidth="1"/>
    <col min="8197" max="8198" width="25" style="1" customWidth="1"/>
    <col min="8199" max="8443" width="7.5" style="1"/>
    <col min="8444" max="8444" width="4.5" style="1" bestFit="1" customWidth="1"/>
    <col min="8445" max="8445" width="9.5" style="1" customWidth="1"/>
    <col min="8446" max="8446" width="36.375" style="1" customWidth="1"/>
    <col min="8447" max="8447" width="8.75" style="1" customWidth="1"/>
    <col min="8448" max="8448" width="11.375" style="1" customWidth="1"/>
    <col min="8449" max="8449" width="14.5" style="1" customWidth="1"/>
    <col min="8450" max="8450" width="6.875" style="1" customWidth="1"/>
    <col min="8451" max="8451" width="6.375" style="1" customWidth="1"/>
    <col min="8452" max="8452" width="11.875" style="1" customWidth="1"/>
    <col min="8453" max="8454" width="25" style="1" customWidth="1"/>
    <col min="8455" max="8699" width="7.5" style="1"/>
    <col min="8700" max="8700" width="4.5" style="1" bestFit="1" customWidth="1"/>
    <col min="8701" max="8701" width="9.5" style="1" customWidth="1"/>
    <col min="8702" max="8702" width="36.375" style="1" customWidth="1"/>
    <col min="8703" max="8703" width="8.75" style="1" customWidth="1"/>
    <col min="8704" max="8704" width="11.375" style="1" customWidth="1"/>
    <col min="8705" max="8705" width="14.5" style="1" customWidth="1"/>
    <col min="8706" max="8706" width="6.875" style="1" customWidth="1"/>
    <col min="8707" max="8707" width="6.375" style="1" customWidth="1"/>
    <col min="8708" max="8708" width="11.875" style="1" customWidth="1"/>
    <col min="8709" max="8710" width="25" style="1" customWidth="1"/>
    <col min="8711" max="8955" width="7.5" style="1"/>
    <col min="8956" max="8956" width="4.5" style="1" bestFit="1" customWidth="1"/>
    <col min="8957" max="8957" width="9.5" style="1" customWidth="1"/>
    <col min="8958" max="8958" width="36.375" style="1" customWidth="1"/>
    <col min="8959" max="8959" width="8.75" style="1" customWidth="1"/>
    <col min="8960" max="8960" width="11.375" style="1" customWidth="1"/>
    <col min="8961" max="8961" width="14.5" style="1" customWidth="1"/>
    <col min="8962" max="8962" width="6.875" style="1" customWidth="1"/>
    <col min="8963" max="8963" width="6.375" style="1" customWidth="1"/>
    <col min="8964" max="8964" width="11.875" style="1" customWidth="1"/>
    <col min="8965" max="8966" width="25" style="1" customWidth="1"/>
    <col min="8967" max="9211" width="7.5" style="1"/>
    <col min="9212" max="9212" width="4.5" style="1" bestFit="1" customWidth="1"/>
    <col min="9213" max="9213" width="9.5" style="1" customWidth="1"/>
    <col min="9214" max="9214" width="36.375" style="1" customWidth="1"/>
    <col min="9215" max="9215" width="8.75" style="1" customWidth="1"/>
    <col min="9216" max="9216" width="11.375" style="1" customWidth="1"/>
    <col min="9217" max="9217" width="14.5" style="1" customWidth="1"/>
    <col min="9218" max="9218" width="6.875" style="1" customWidth="1"/>
    <col min="9219" max="9219" width="6.375" style="1" customWidth="1"/>
    <col min="9220" max="9220" width="11.875" style="1" customWidth="1"/>
    <col min="9221" max="9222" width="25" style="1" customWidth="1"/>
    <col min="9223" max="9467" width="7.5" style="1"/>
    <col min="9468" max="9468" width="4.5" style="1" bestFit="1" customWidth="1"/>
    <col min="9469" max="9469" width="9.5" style="1" customWidth="1"/>
    <col min="9470" max="9470" width="36.375" style="1" customWidth="1"/>
    <col min="9471" max="9471" width="8.75" style="1" customWidth="1"/>
    <col min="9472" max="9472" width="11.375" style="1" customWidth="1"/>
    <col min="9473" max="9473" width="14.5" style="1" customWidth="1"/>
    <col min="9474" max="9474" width="6.875" style="1" customWidth="1"/>
    <col min="9475" max="9475" width="6.375" style="1" customWidth="1"/>
    <col min="9476" max="9476" width="11.875" style="1" customWidth="1"/>
    <col min="9477" max="9478" width="25" style="1" customWidth="1"/>
    <col min="9479" max="9723" width="7.5" style="1"/>
    <col min="9724" max="9724" width="4.5" style="1" bestFit="1" customWidth="1"/>
    <col min="9725" max="9725" width="9.5" style="1" customWidth="1"/>
    <col min="9726" max="9726" width="36.375" style="1" customWidth="1"/>
    <col min="9727" max="9727" width="8.75" style="1" customWidth="1"/>
    <col min="9728" max="9728" width="11.375" style="1" customWidth="1"/>
    <col min="9729" max="9729" width="14.5" style="1" customWidth="1"/>
    <col min="9730" max="9730" width="6.875" style="1" customWidth="1"/>
    <col min="9731" max="9731" width="6.375" style="1" customWidth="1"/>
    <col min="9732" max="9732" width="11.875" style="1" customWidth="1"/>
    <col min="9733" max="9734" width="25" style="1" customWidth="1"/>
    <col min="9735" max="9979" width="7.5" style="1"/>
    <col min="9980" max="9980" width="4.5" style="1" bestFit="1" customWidth="1"/>
    <col min="9981" max="9981" width="9.5" style="1" customWidth="1"/>
    <col min="9982" max="9982" width="36.375" style="1" customWidth="1"/>
    <col min="9983" max="9983" width="8.75" style="1" customWidth="1"/>
    <col min="9984" max="9984" width="11.375" style="1" customWidth="1"/>
    <col min="9985" max="9985" width="14.5" style="1" customWidth="1"/>
    <col min="9986" max="9986" width="6.875" style="1" customWidth="1"/>
    <col min="9987" max="9987" width="6.375" style="1" customWidth="1"/>
    <col min="9988" max="9988" width="11.875" style="1" customWidth="1"/>
    <col min="9989" max="9990" width="25" style="1" customWidth="1"/>
    <col min="9991" max="10235" width="7.5" style="1"/>
    <col min="10236" max="10236" width="4.5" style="1" bestFit="1" customWidth="1"/>
    <col min="10237" max="10237" width="9.5" style="1" customWidth="1"/>
    <col min="10238" max="10238" width="36.375" style="1" customWidth="1"/>
    <col min="10239" max="10239" width="8.75" style="1" customWidth="1"/>
    <col min="10240" max="10240" width="11.375" style="1" customWidth="1"/>
    <col min="10241" max="10241" width="14.5" style="1" customWidth="1"/>
    <col min="10242" max="10242" width="6.875" style="1" customWidth="1"/>
    <col min="10243" max="10243" width="6.375" style="1" customWidth="1"/>
    <col min="10244" max="10244" width="11.875" style="1" customWidth="1"/>
    <col min="10245" max="10246" width="25" style="1" customWidth="1"/>
    <col min="10247" max="10491" width="7.5" style="1"/>
    <col min="10492" max="10492" width="4.5" style="1" bestFit="1" customWidth="1"/>
    <col min="10493" max="10493" width="9.5" style="1" customWidth="1"/>
    <col min="10494" max="10494" width="36.375" style="1" customWidth="1"/>
    <col min="10495" max="10495" width="8.75" style="1" customWidth="1"/>
    <col min="10496" max="10496" width="11.375" style="1" customWidth="1"/>
    <col min="10497" max="10497" width="14.5" style="1" customWidth="1"/>
    <col min="10498" max="10498" width="6.875" style="1" customWidth="1"/>
    <col min="10499" max="10499" width="6.375" style="1" customWidth="1"/>
    <col min="10500" max="10500" width="11.875" style="1" customWidth="1"/>
    <col min="10501" max="10502" width="25" style="1" customWidth="1"/>
    <col min="10503" max="10747" width="7.5" style="1"/>
    <col min="10748" max="10748" width="4.5" style="1" bestFit="1" customWidth="1"/>
    <col min="10749" max="10749" width="9.5" style="1" customWidth="1"/>
    <col min="10750" max="10750" width="36.375" style="1" customWidth="1"/>
    <col min="10751" max="10751" width="8.75" style="1" customWidth="1"/>
    <col min="10752" max="10752" width="11.375" style="1" customWidth="1"/>
    <col min="10753" max="10753" width="14.5" style="1" customWidth="1"/>
    <col min="10754" max="10754" width="6.875" style="1" customWidth="1"/>
    <col min="10755" max="10755" width="6.375" style="1" customWidth="1"/>
    <col min="10756" max="10756" width="11.875" style="1" customWidth="1"/>
    <col min="10757" max="10758" width="25" style="1" customWidth="1"/>
    <col min="10759" max="11003" width="7.5" style="1"/>
    <col min="11004" max="11004" width="4.5" style="1" bestFit="1" customWidth="1"/>
    <col min="11005" max="11005" width="9.5" style="1" customWidth="1"/>
    <col min="11006" max="11006" width="36.375" style="1" customWidth="1"/>
    <col min="11007" max="11007" width="8.75" style="1" customWidth="1"/>
    <col min="11008" max="11008" width="11.375" style="1" customWidth="1"/>
    <col min="11009" max="11009" width="14.5" style="1" customWidth="1"/>
    <col min="11010" max="11010" width="6.875" style="1" customWidth="1"/>
    <col min="11011" max="11011" width="6.375" style="1" customWidth="1"/>
    <col min="11012" max="11012" width="11.875" style="1" customWidth="1"/>
    <col min="11013" max="11014" width="25" style="1" customWidth="1"/>
    <col min="11015" max="11259" width="7.5" style="1"/>
    <col min="11260" max="11260" width="4.5" style="1" bestFit="1" customWidth="1"/>
    <col min="11261" max="11261" width="9.5" style="1" customWidth="1"/>
    <col min="11262" max="11262" width="36.375" style="1" customWidth="1"/>
    <col min="11263" max="11263" width="8.75" style="1" customWidth="1"/>
    <col min="11264" max="11264" width="11.375" style="1" customWidth="1"/>
    <col min="11265" max="11265" width="14.5" style="1" customWidth="1"/>
    <col min="11266" max="11266" width="6.875" style="1" customWidth="1"/>
    <col min="11267" max="11267" width="6.375" style="1" customWidth="1"/>
    <col min="11268" max="11268" width="11.875" style="1" customWidth="1"/>
    <col min="11269" max="11270" width="25" style="1" customWidth="1"/>
    <col min="11271" max="11515" width="7.5" style="1"/>
    <col min="11516" max="11516" width="4.5" style="1" bestFit="1" customWidth="1"/>
    <col min="11517" max="11517" width="9.5" style="1" customWidth="1"/>
    <col min="11518" max="11518" width="36.375" style="1" customWidth="1"/>
    <col min="11519" max="11519" width="8.75" style="1" customWidth="1"/>
    <col min="11520" max="11520" width="11.375" style="1" customWidth="1"/>
    <col min="11521" max="11521" width="14.5" style="1" customWidth="1"/>
    <col min="11522" max="11522" width="6.875" style="1" customWidth="1"/>
    <col min="11523" max="11523" width="6.375" style="1" customWidth="1"/>
    <col min="11524" max="11524" width="11.875" style="1" customWidth="1"/>
    <col min="11525" max="11526" width="25" style="1" customWidth="1"/>
    <col min="11527" max="11771" width="7.5" style="1"/>
    <col min="11772" max="11772" width="4.5" style="1" bestFit="1" customWidth="1"/>
    <col min="11773" max="11773" width="9.5" style="1" customWidth="1"/>
    <col min="11774" max="11774" width="36.375" style="1" customWidth="1"/>
    <col min="11775" max="11775" width="8.75" style="1" customWidth="1"/>
    <col min="11776" max="11776" width="11.375" style="1" customWidth="1"/>
    <col min="11777" max="11777" width="14.5" style="1" customWidth="1"/>
    <col min="11778" max="11778" width="6.875" style="1" customWidth="1"/>
    <col min="11779" max="11779" width="6.375" style="1" customWidth="1"/>
    <col min="11780" max="11780" width="11.875" style="1" customWidth="1"/>
    <col min="11781" max="11782" width="25" style="1" customWidth="1"/>
    <col min="11783" max="12027" width="7.5" style="1"/>
    <col min="12028" max="12028" width="4.5" style="1" bestFit="1" customWidth="1"/>
    <col min="12029" max="12029" width="9.5" style="1" customWidth="1"/>
    <col min="12030" max="12030" width="36.375" style="1" customWidth="1"/>
    <col min="12031" max="12031" width="8.75" style="1" customWidth="1"/>
    <col min="12032" max="12032" width="11.375" style="1" customWidth="1"/>
    <col min="12033" max="12033" width="14.5" style="1" customWidth="1"/>
    <col min="12034" max="12034" width="6.875" style="1" customWidth="1"/>
    <col min="12035" max="12035" width="6.375" style="1" customWidth="1"/>
    <col min="12036" max="12036" width="11.875" style="1" customWidth="1"/>
    <col min="12037" max="12038" width="25" style="1" customWidth="1"/>
    <col min="12039" max="12283" width="7.5" style="1"/>
    <col min="12284" max="12284" width="4.5" style="1" bestFit="1" customWidth="1"/>
    <col min="12285" max="12285" width="9.5" style="1" customWidth="1"/>
    <col min="12286" max="12286" width="36.375" style="1" customWidth="1"/>
    <col min="12287" max="12287" width="8.75" style="1" customWidth="1"/>
    <col min="12288" max="12288" width="11.375" style="1" customWidth="1"/>
    <col min="12289" max="12289" width="14.5" style="1" customWidth="1"/>
    <col min="12290" max="12290" width="6.875" style="1" customWidth="1"/>
    <col min="12291" max="12291" width="6.375" style="1" customWidth="1"/>
    <col min="12292" max="12292" width="11.875" style="1" customWidth="1"/>
    <col min="12293" max="12294" width="25" style="1" customWidth="1"/>
    <col min="12295" max="12539" width="7.5" style="1"/>
    <col min="12540" max="12540" width="4.5" style="1" bestFit="1" customWidth="1"/>
    <col min="12541" max="12541" width="9.5" style="1" customWidth="1"/>
    <col min="12542" max="12542" width="36.375" style="1" customWidth="1"/>
    <col min="12543" max="12543" width="8.75" style="1" customWidth="1"/>
    <col min="12544" max="12544" width="11.375" style="1" customWidth="1"/>
    <col min="12545" max="12545" width="14.5" style="1" customWidth="1"/>
    <col min="12546" max="12546" width="6.875" style="1" customWidth="1"/>
    <col min="12547" max="12547" width="6.375" style="1" customWidth="1"/>
    <col min="12548" max="12548" width="11.875" style="1" customWidth="1"/>
    <col min="12549" max="12550" width="25" style="1" customWidth="1"/>
    <col min="12551" max="12795" width="7.5" style="1"/>
    <col min="12796" max="12796" width="4.5" style="1" bestFit="1" customWidth="1"/>
    <col min="12797" max="12797" width="9.5" style="1" customWidth="1"/>
    <col min="12798" max="12798" width="36.375" style="1" customWidth="1"/>
    <col min="12799" max="12799" width="8.75" style="1" customWidth="1"/>
    <col min="12800" max="12800" width="11.375" style="1" customWidth="1"/>
    <col min="12801" max="12801" width="14.5" style="1" customWidth="1"/>
    <col min="12802" max="12802" width="6.875" style="1" customWidth="1"/>
    <col min="12803" max="12803" width="6.375" style="1" customWidth="1"/>
    <col min="12804" max="12804" width="11.875" style="1" customWidth="1"/>
    <col min="12805" max="12806" width="25" style="1" customWidth="1"/>
    <col min="12807" max="13051" width="7.5" style="1"/>
    <col min="13052" max="13052" width="4.5" style="1" bestFit="1" customWidth="1"/>
    <col min="13053" max="13053" width="9.5" style="1" customWidth="1"/>
    <col min="13054" max="13054" width="36.375" style="1" customWidth="1"/>
    <col min="13055" max="13055" width="8.75" style="1" customWidth="1"/>
    <col min="13056" max="13056" width="11.375" style="1" customWidth="1"/>
    <col min="13057" max="13057" width="14.5" style="1" customWidth="1"/>
    <col min="13058" max="13058" width="6.875" style="1" customWidth="1"/>
    <col min="13059" max="13059" width="6.375" style="1" customWidth="1"/>
    <col min="13060" max="13060" width="11.875" style="1" customWidth="1"/>
    <col min="13061" max="13062" width="25" style="1" customWidth="1"/>
    <col min="13063" max="13307" width="7.5" style="1"/>
    <col min="13308" max="13308" width="4.5" style="1" bestFit="1" customWidth="1"/>
    <col min="13309" max="13309" width="9.5" style="1" customWidth="1"/>
    <col min="13310" max="13310" width="36.375" style="1" customWidth="1"/>
    <col min="13311" max="13311" width="8.75" style="1" customWidth="1"/>
    <col min="13312" max="13312" width="11.375" style="1" customWidth="1"/>
    <col min="13313" max="13313" width="14.5" style="1" customWidth="1"/>
    <col min="13314" max="13314" width="6.875" style="1" customWidth="1"/>
    <col min="13315" max="13315" width="6.375" style="1" customWidth="1"/>
    <col min="13316" max="13316" width="11.875" style="1" customWidth="1"/>
    <col min="13317" max="13318" width="25" style="1" customWidth="1"/>
    <col min="13319" max="13563" width="7.5" style="1"/>
    <col min="13564" max="13564" width="4.5" style="1" bestFit="1" customWidth="1"/>
    <col min="13565" max="13565" width="9.5" style="1" customWidth="1"/>
    <col min="13566" max="13566" width="36.375" style="1" customWidth="1"/>
    <col min="13567" max="13567" width="8.75" style="1" customWidth="1"/>
    <col min="13568" max="13568" width="11.375" style="1" customWidth="1"/>
    <col min="13569" max="13569" width="14.5" style="1" customWidth="1"/>
    <col min="13570" max="13570" width="6.875" style="1" customWidth="1"/>
    <col min="13571" max="13571" width="6.375" style="1" customWidth="1"/>
    <col min="13572" max="13572" width="11.875" style="1" customWidth="1"/>
    <col min="13573" max="13574" width="25" style="1" customWidth="1"/>
    <col min="13575" max="13819" width="7.5" style="1"/>
    <col min="13820" max="13820" width="4.5" style="1" bestFit="1" customWidth="1"/>
    <col min="13821" max="13821" width="9.5" style="1" customWidth="1"/>
    <col min="13822" max="13822" width="36.375" style="1" customWidth="1"/>
    <col min="13823" max="13823" width="8.75" style="1" customWidth="1"/>
    <col min="13824" max="13824" width="11.375" style="1" customWidth="1"/>
    <col min="13825" max="13825" width="14.5" style="1" customWidth="1"/>
    <col min="13826" max="13826" width="6.875" style="1" customWidth="1"/>
    <col min="13827" max="13827" width="6.375" style="1" customWidth="1"/>
    <col min="13828" max="13828" width="11.875" style="1" customWidth="1"/>
    <col min="13829" max="13830" width="25" style="1" customWidth="1"/>
    <col min="13831" max="14075" width="7.5" style="1"/>
    <col min="14076" max="14076" width="4.5" style="1" bestFit="1" customWidth="1"/>
    <col min="14077" max="14077" width="9.5" style="1" customWidth="1"/>
    <col min="14078" max="14078" width="36.375" style="1" customWidth="1"/>
    <col min="14079" max="14079" width="8.75" style="1" customWidth="1"/>
    <col min="14080" max="14080" width="11.375" style="1" customWidth="1"/>
    <col min="14081" max="14081" width="14.5" style="1" customWidth="1"/>
    <col min="14082" max="14082" width="6.875" style="1" customWidth="1"/>
    <col min="14083" max="14083" width="6.375" style="1" customWidth="1"/>
    <col min="14084" max="14084" width="11.875" style="1" customWidth="1"/>
    <col min="14085" max="14086" width="25" style="1" customWidth="1"/>
    <col min="14087" max="14331" width="7.5" style="1"/>
    <col min="14332" max="14332" width="4.5" style="1" bestFit="1" customWidth="1"/>
    <col min="14333" max="14333" width="9.5" style="1" customWidth="1"/>
    <col min="14334" max="14334" width="36.375" style="1" customWidth="1"/>
    <col min="14335" max="14335" width="8.75" style="1" customWidth="1"/>
    <col min="14336" max="14336" width="11.375" style="1" customWidth="1"/>
    <col min="14337" max="14337" width="14.5" style="1" customWidth="1"/>
    <col min="14338" max="14338" width="6.875" style="1" customWidth="1"/>
    <col min="14339" max="14339" width="6.375" style="1" customWidth="1"/>
    <col min="14340" max="14340" width="11.875" style="1" customWidth="1"/>
    <col min="14341" max="14342" width="25" style="1" customWidth="1"/>
    <col min="14343" max="14587" width="7.5" style="1"/>
    <col min="14588" max="14588" width="4.5" style="1" bestFit="1" customWidth="1"/>
    <col min="14589" max="14589" width="9.5" style="1" customWidth="1"/>
    <col min="14590" max="14590" width="36.375" style="1" customWidth="1"/>
    <col min="14591" max="14591" width="8.75" style="1" customWidth="1"/>
    <col min="14592" max="14592" width="11.375" style="1" customWidth="1"/>
    <col min="14593" max="14593" width="14.5" style="1" customWidth="1"/>
    <col min="14594" max="14594" width="6.875" style="1" customWidth="1"/>
    <col min="14595" max="14595" width="6.375" style="1" customWidth="1"/>
    <col min="14596" max="14596" width="11.875" style="1" customWidth="1"/>
    <col min="14597" max="14598" width="25" style="1" customWidth="1"/>
    <col min="14599" max="14843" width="7.5" style="1"/>
    <col min="14844" max="14844" width="4.5" style="1" bestFit="1" customWidth="1"/>
    <col min="14845" max="14845" width="9.5" style="1" customWidth="1"/>
    <col min="14846" max="14846" width="36.375" style="1" customWidth="1"/>
    <col min="14847" max="14847" width="8.75" style="1" customWidth="1"/>
    <col min="14848" max="14848" width="11.375" style="1" customWidth="1"/>
    <col min="14849" max="14849" width="14.5" style="1" customWidth="1"/>
    <col min="14850" max="14850" width="6.875" style="1" customWidth="1"/>
    <col min="14851" max="14851" width="6.375" style="1" customWidth="1"/>
    <col min="14852" max="14852" width="11.875" style="1" customWidth="1"/>
    <col min="14853" max="14854" width="25" style="1" customWidth="1"/>
    <col min="14855" max="15099" width="7.5" style="1"/>
    <col min="15100" max="15100" width="4.5" style="1" bestFit="1" customWidth="1"/>
    <col min="15101" max="15101" width="9.5" style="1" customWidth="1"/>
    <col min="15102" max="15102" width="36.375" style="1" customWidth="1"/>
    <col min="15103" max="15103" width="8.75" style="1" customWidth="1"/>
    <col min="15104" max="15104" width="11.375" style="1" customWidth="1"/>
    <col min="15105" max="15105" width="14.5" style="1" customWidth="1"/>
    <col min="15106" max="15106" width="6.875" style="1" customWidth="1"/>
    <col min="15107" max="15107" width="6.375" style="1" customWidth="1"/>
    <col min="15108" max="15108" width="11.875" style="1" customWidth="1"/>
    <col min="15109" max="15110" width="25" style="1" customWidth="1"/>
    <col min="15111" max="15355" width="7.5" style="1"/>
    <col min="15356" max="15356" width="4.5" style="1" bestFit="1" customWidth="1"/>
    <col min="15357" max="15357" width="9.5" style="1" customWidth="1"/>
    <col min="15358" max="15358" width="36.375" style="1" customWidth="1"/>
    <col min="15359" max="15359" width="8.75" style="1" customWidth="1"/>
    <col min="15360" max="15360" width="11.375" style="1" customWidth="1"/>
    <col min="15361" max="15361" width="14.5" style="1" customWidth="1"/>
    <col min="15362" max="15362" width="6.875" style="1" customWidth="1"/>
    <col min="15363" max="15363" width="6.375" style="1" customWidth="1"/>
    <col min="15364" max="15364" width="11.875" style="1" customWidth="1"/>
    <col min="15365" max="15366" width="25" style="1" customWidth="1"/>
    <col min="15367" max="15611" width="7.5" style="1"/>
    <col min="15612" max="15612" width="4.5" style="1" bestFit="1" customWidth="1"/>
    <col min="15613" max="15613" width="9.5" style="1" customWidth="1"/>
    <col min="15614" max="15614" width="36.375" style="1" customWidth="1"/>
    <col min="15615" max="15615" width="8.75" style="1" customWidth="1"/>
    <col min="15616" max="15616" width="11.375" style="1" customWidth="1"/>
    <col min="15617" max="15617" width="14.5" style="1" customWidth="1"/>
    <col min="15618" max="15618" width="6.875" style="1" customWidth="1"/>
    <col min="15619" max="15619" width="6.375" style="1" customWidth="1"/>
    <col min="15620" max="15620" width="11.875" style="1" customWidth="1"/>
    <col min="15621" max="15622" width="25" style="1" customWidth="1"/>
    <col min="15623" max="15867" width="7.5" style="1"/>
    <col min="15868" max="15868" width="4.5" style="1" bestFit="1" customWidth="1"/>
    <col min="15869" max="15869" width="9.5" style="1" customWidth="1"/>
    <col min="15870" max="15870" width="36.375" style="1" customWidth="1"/>
    <col min="15871" max="15871" width="8.75" style="1" customWidth="1"/>
    <col min="15872" max="15872" width="11.375" style="1" customWidth="1"/>
    <col min="15873" max="15873" width="14.5" style="1" customWidth="1"/>
    <col min="15874" max="15874" width="6.875" style="1" customWidth="1"/>
    <col min="15875" max="15875" width="6.375" style="1" customWidth="1"/>
    <col min="15876" max="15876" width="11.875" style="1" customWidth="1"/>
    <col min="15877" max="15878" width="25" style="1" customWidth="1"/>
    <col min="15879" max="16123" width="7.5" style="1"/>
    <col min="16124" max="16124" width="4.5" style="1" bestFit="1" customWidth="1"/>
    <col min="16125" max="16125" width="9.5" style="1" customWidth="1"/>
    <col min="16126" max="16126" width="36.375" style="1" customWidth="1"/>
    <col min="16127" max="16127" width="8.75" style="1" customWidth="1"/>
    <col min="16128" max="16128" width="11.375" style="1" customWidth="1"/>
    <col min="16129" max="16129" width="14.5" style="1" customWidth="1"/>
    <col min="16130" max="16130" width="6.875" style="1" customWidth="1"/>
    <col min="16131" max="16131" width="6.375" style="1" customWidth="1"/>
    <col min="16132" max="16132" width="11.875" style="1" customWidth="1"/>
    <col min="16133" max="16134" width="25" style="1" customWidth="1"/>
    <col min="16135" max="16384" width="7.5" style="1"/>
  </cols>
  <sheetData>
    <row r="1" spans="1:12" ht="18.75">
      <c r="A1" s="593" t="s">
        <v>436</v>
      </c>
      <c r="B1" s="593"/>
      <c r="C1" s="593"/>
      <c r="D1" s="593"/>
      <c r="E1" s="593"/>
      <c r="F1" s="593"/>
      <c r="G1" s="593"/>
      <c r="H1" s="593"/>
      <c r="I1" s="593"/>
      <c r="J1" s="292"/>
      <c r="K1" s="292"/>
      <c r="L1" s="292"/>
    </row>
    <row r="2" spans="1:12" ht="18.75">
      <c r="A2" s="593" t="s">
        <v>437</v>
      </c>
      <c r="B2" s="593"/>
      <c r="C2" s="593"/>
      <c r="D2" s="593"/>
      <c r="E2" s="593"/>
      <c r="F2" s="593"/>
      <c r="G2" s="593"/>
      <c r="H2" s="593"/>
      <c r="I2" s="593"/>
      <c r="J2" s="292"/>
      <c r="K2" s="292"/>
      <c r="L2" s="292"/>
    </row>
    <row r="3" spans="1:12" ht="15.75">
      <c r="A3" s="22"/>
      <c r="B3" s="22"/>
      <c r="C3" s="22"/>
      <c r="D3" s="22"/>
      <c r="E3" s="22"/>
      <c r="F3" s="22"/>
      <c r="G3" s="22"/>
      <c r="H3" s="22"/>
      <c r="I3" s="22"/>
    </row>
    <row r="4" spans="1:12" ht="31.5" customHeight="1">
      <c r="A4" s="596" t="s">
        <v>0</v>
      </c>
      <c r="B4" s="596" t="s">
        <v>44</v>
      </c>
      <c r="C4" s="596" t="s">
        <v>1</v>
      </c>
      <c r="D4" s="621" t="s">
        <v>385</v>
      </c>
      <c r="E4" s="622"/>
      <c r="F4" s="596" t="s">
        <v>388</v>
      </c>
      <c r="G4" s="594" t="s">
        <v>356</v>
      </c>
      <c r="H4" s="595"/>
      <c r="I4" s="598" t="s">
        <v>40</v>
      </c>
    </row>
    <row r="5" spans="1:12" ht="31.5">
      <c r="A5" s="597"/>
      <c r="B5" s="597"/>
      <c r="C5" s="597"/>
      <c r="D5" s="281" t="s">
        <v>349</v>
      </c>
      <c r="E5" s="282" t="s">
        <v>350</v>
      </c>
      <c r="F5" s="597"/>
      <c r="G5" s="281" t="s">
        <v>349</v>
      </c>
      <c r="H5" s="282" t="s">
        <v>350</v>
      </c>
      <c r="I5" s="599"/>
    </row>
    <row r="6" spans="1:12" ht="15.75">
      <c r="A6" s="180" t="s">
        <v>2</v>
      </c>
      <c r="B6" s="229" t="s">
        <v>66</v>
      </c>
      <c r="C6" s="226"/>
      <c r="D6" s="226"/>
      <c r="E6" s="228"/>
      <c r="F6" s="54"/>
      <c r="G6" s="54"/>
      <c r="H6" s="15"/>
      <c r="I6" s="74"/>
    </row>
    <row r="7" spans="1:12" ht="15.75">
      <c r="A7" s="227">
        <v>1</v>
      </c>
      <c r="B7" s="226" t="s">
        <v>90</v>
      </c>
      <c r="C7" s="227" t="s">
        <v>386</v>
      </c>
      <c r="D7" s="460">
        <v>2.4346666666666682E-5</v>
      </c>
      <c r="E7" s="274">
        <f>bang50!K7</f>
        <v>4.0000000000000003E-5</v>
      </c>
      <c r="F7" s="272">
        <f>'II.6 ĐG NL'!E8</f>
        <v>2110.4285714285716</v>
      </c>
      <c r="G7" s="461">
        <f>D7*F7</f>
        <v>5.1381900952380988E-2</v>
      </c>
      <c r="H7" s="275">
        <f>E7*F7</f>
        <v>8.4417142857142871E-2</v>
      </c>
      <c r="I7" s="273" t="s">
        <v>501</v>
      </c>
    </row>
    <row r="8" spans="1:12" ht="15.75">
      <c r="A8" s="180" t="s">
        <v>16</v>
      </c>
      <c r="B8" s="229" t="s">
        <v>73</v>
      </c>
      <c r="C8" s="226"/>
      <c r="D8" s="460"/>
      <c r="E8" s="276"/>
      <c r="F8" s="272"/>
      <c r="G8" s="272"/>
      <c r="H8" s="271"/>
      <c r="I8" s="273"/>
    </row>
    <row r="9" spans="1:12" ht="15.75">
      <c r="A9" s="227">
        <v>2</v>
      </c>
      <c r="B9" s="226" t="s">
        <v>92</v>
      </c>
      <c r="C9" s="227" t="s">
        <v>386</v>
      </c>
      <c r="D9" s="460">
        <v>7.7909333333333358E-2</v>
      </c>
      <c r="E9" s="276">
        <f>bang50!K9</f>
        <v>0.12</v>
      </c>
      <c r="F9" s="272">
        <f>F7</f>
        <v>2110.4285714285716</v>
      </c>
      <c r="G9" s="272">
        <f t="shared" ref="G9:G12" si="0">D9*F9</f>
        <v>164.42208304761911</v>
      </c>
      <c r="H9" s="271">
        <f>E9*F9</f>
        <v>253.25142857142859</v>
      </c>
      <c r="I9" s="273" t="s">
        <v>501</v>
      </c>
    </row>
    <row r="10" spans="1:12" ht="15.75">
      <c r="A10" s="227">
        <v>3</v>
      </c>
      <c r="B10" s="226" t="s">
        <v>164</v>
      </c>
      <c r="C10" s="227" t="s">
        <v>386</v>
      </c>
      <c r="D10" s="460">
        <v>0.13942399999999999</v>
      </c>
      <c r="E10" s="276">
        <f>bang50!K10</f>
        <v>8.4000000000000005E-2</v>
      </c>
      <c r="F10" s="272">
        <f>F9</f>
        <v>2110.4285714285716</v>
      </c>
      <c r="G10" s="272">
        <f t="shared" si="0"/>
        <v>294.24439314285712</v>
      </c>
      <c r="H10" s="271">
        <f>E10*F10</f>
        <v>177.27600000000001</v>
      </c>
      <c r="I10" s="273" t="s">
        <v>501</v>
      </c>
    </row>
    <row r="11" spans="1:12" ht="15.75">
      <c r="A11" s="227">
        <v>4</v>
      </c>
      <c r="B11" s="226" t="s">
        <v>165</v>
      </c>
      <c r="C11" s="227" t="s">
        <v>386</v>
      </c>
      <c r="D11" s="460">
        <v>2.3039999999999977E-2</v>
      </c>
      <c r="E11" s="276">
        <f>bang50!K11</f>
        <v>0.06</v>
      </c>
      <c r="F11" s="272">
        <f>F10</f>
        <v>2110.4285714285716</v>
      </c>
      <c r="G11" s="272">
        <f t="shared" si="0"/>
        <v>48.624274285714243</v>
      </c>
      <c r="H11" s="271">
        <f>E11*F11</f>
        <v>126.6257142857143</v>
      </c>
      <c r="I11" s="273" t="s">
        <v>501</v>
      </c>
    </row>
    <row r="12" spans="1:12" ht="15.75">
      <c r="A12" s="227">
        <v>5</v>
      </c>
      <c r="B12" s="226" t="s">
        <v>166</v>
      </c>
      <c r="C12" s="227" t="s">
        <v>386</v>
      </c>
      <c r="D12" s="460">
        <v>0.26400000000000001</v>
      </c>
      <c r="E12" s="276">
        <f>bang50!K12</f>
        <v>0.26400000000000001</v>
      </c>
      <c r="F12" s="272">
        <f>F11</f>
        <v>2110.4285714285716</v>
      </c>
      <c r="G12" s="272">
        <f t="shared" si="0"/>
        <v>557.15314285714294</v>
      </c>
      <c r="H12" s="271">
        <f>E12*F12</f>
        <v>557.15314285714294</v>
      </c>
      <c r="I12" s="273" t="s">
        <v>501</v>
      </c>
    </row>
    <row r="13" spans="1:12" ht="15.75">
      <c r="A13" s="158"/>
      <c r="B13" s="12" t="s">
        <v>357</v>
      </c>
      <c r="C13" s="12"/>
      <c r="D13" s="12"/>
      <c r="E13" s="13"/>
      <c r="F13" s="16"/>
      <c r="G13" s="14">
        <f>SUM(G7:G12)</f>
        <v>1064.4952752342858</v>
      </c>
      <c r="H13" s="14">
        <f>SUM(H7:H12)</f>
        <v>1114.390702857143</v>
      </c>
      <c r="I13" s="14"/>
    </row>
    <row r="15" spans="1:12" ht="15" customHeight="1"/>
    <row r="16" spans="1:12" ht="13.5" customHeight="1"/>
  </sheetData>
  <mergeCells count="9">
    <mergeCell ref="A1:I1"/>
    <mergeCell ref="A2:I2"/>
    <mergeCell ref="D4:E4"/>
    <mergeCell ref="G4:H4"/>
    <mergeCell ref="C4:C5"/>
    <mergeCell ref="B4:B5"/>
    <mergeCell ref="A4:A5"/>
    <mergeCell ref="I4:I5"/>
    <mergeCell ref="F4: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2"/>
  <sheetViews>
    <sheetView zoomScale="130" zoomScaleNormal="130" workbookViewId="0">
      <selection activeCell="C11" sqref="C11"/>
    </sheetView>
  </sheetViews>
  <sheetFormatPr defaultRowHeight="14.25"/>
  <cols>
    <col min="1" max="1" width="6.125" customWidth="1"/>
    <col min="3" max="3" width="13.875" customWidth="1"/>
    <col min="4" max="4" width="10.125" customWidth="1"/>
    <col min="5" max="5" width="11.375" customWidth="1"/>
    <col min="6" max="6" width="41.75" customWidth="1"/>
  </cols>
  <sheetData>
    <row r="1" spans="1:7" ht="18.75" customHeight="1">
      <c r="A1" s="593" t="s">
        <v>439</v>
      </c>
      <c r="B1" s="593"/>
      <c r="C1" s="593"/>
      <c r="D1" s="593"/>
      <c r="E1" s="593"/>
      <c r="F1" s="593"/>
      <c r="G1" s="292"/>
    </row>
    <row r="2" spans="1:7" ht="18.75" customHeight="1">
      <c r="A2" s="593" t="s">
        <v>438</v>
      </c>
      <c r="B2" s="593"/>
      <c r="C2" s="593"/>
      <c r="D2" s="593"/>
      <c r="E2" s="593"/>
      <c r="F2" s="593"/>
      <c r="G2" s="292"/>
    </row>
    <row r="3" spans="1:7" ht="15.75">
      <c r="A3" s="10"/>
      <c r="B3" s="10"/>
      <c r="C3" s="10"/>
      <c r="D3" s="45"/>
      <c r="E3" s="46"/>
      <c r="F3" s="47"/>
    </row>
    <row r="4" spans="1:7" ht="31.5">
      <c r="A4" s="158" t="s">
        <v>0</v>
      </c>
      <c r="B4" s="637" t="s">
        <v>44</v>
      </c>
      <c r="C4" s="637"/>
      <c r="D4" s="224" t="s">
        <v>383</v>
      </c>
      <c r="E4" s="224" t="s">
        <v>388</v>
      </c>
      <c r="F4" s="224" t="s">
        <v>40</v>
      </c>
    </row>
    <row r="5" spans="1:7" ht="15.75">
      <c r="A5" s="230">
        <v>1</v>
      </c>
      <c r="B5" s="638" t="s">
        <v>206</v>
      </c>
      <c r="C5" s="638"/>
      <c r="D5" s="186">
        <f>6*7</f>
        <v>42</v>
      </c>
      <c r="E5" s="231">
        <f>1100*0+1133*0+1241*0+1300</f>
        <v>1300</v>
      </c>
      <c r="F5" s="232" t="s">
        <v>504</v>
      </c>
    </row>
    <row r="6" spans="1:7" ht="31.5">
      <c r="A6" s="230">
        <v>2</v>
      </c>
      <c r="B6" s="638" t="s">
        <v>207</v>
      </c>
      <c r="C6" s="638"/>
      <c r="D6" s="186">
        <f>13*6+18*1</f>
        <v>96</v>
      </c>
      <c r="E6" s="231">
        <f>1685*0+1738*0+1896*0+1987</f>
        <v>1987</v>
      </c>
      <c r="F6" s="232" t="s">
        <v>505</v>
      </c>
    </row>
    <row r="7" spans="1:7" ht="31.5">
      <c r="A7" s="230">
        <v>3</v>
      </c>
      <c r="B7" s="638" t="s">
        <v>208</v>
      </c>
      <c r="C7" s="638"/>
      <c r="D7" s="186">
        <f>5*6</f>
        <v>30</v>
      </c>
      <c r="E7" s="231">
        <f>3076*0+3171*0+3474*0+3640</f>
        <v>3640</v>
      </c>
      <c r="F7" s="232" t="s">
        <v>506</v>
      </c>
    </row>
    <row r="8" spans="1:7" ht="15.75">
      <c r="A8" s="233"/>
      <c r="B8" s="633" t="s">
        <v>209</v>
      </c>
      <c r="C8" s="634"/>
      <c r="D8" s="234">
        <f>SUM(D5:D7)</f>
        <v>168</v>
      </c>
      <c r="E8" s="235">
        <f>(E7*D7+E5*D5+E6*D6)/D8</f>
        <v>2110.4285714285716</v>
      </c>
      <c r="F8" s="236"/>
    </row>
    <row r="9" spans="1:7" s="170" customFormat="1" ht="15.75">
      <c r="A9" s="222"/>
      <c r="B9" s="635" t="s">
        <v>210</v>
      </c>
      <c r="C9" s="636"/>
      <c r="D9" s="222"/>
      <c r="E9" s="223">
        <f>E8</f>
        <v>2110.4285714285716</v>
      </c>
      <c r="F9" s="225"/>
    </row>
    <row r="10" spans="1:7" s="237" customFormat="1" ht="15">
      <c r="A10" s="237" t="s">
        <v>502</v>
      </c>
    </row>
    <row r="11" spans="1:7" ht="15">
      <c r="A11" s="237" t="s">
        <v>503</v>
      </c>
    </row>
    <row r="12" spans="1:7" ht="15">
      <c r="A12" s="237" t="s">
        <v>507</v>
      </c>
    </row>
  </sheetData>
  <mergeCells count="8">
    <mergeCell ref="A1:F1"/>
    <mergeCell ref="A2:F2"/>
    <mergeCell ref="B8:C8"/>
    <mergeCell ref="B9:C9"/>
    <mergeCell ref="B4:C4"/>
    <mergeCell ref="B5:C5"/>
    <mergeCell ref="B6:C6"/>
    <mergeCell ref="B7:C7"/>
  </mergeCells>
  <pageMargins left="1.2" right="1.2" top="0.75" bottom="0.75" header="0.3" footer="0.3"/>
  <pageSetup paperSize="9" scale="105" orientation="portrait" verticalDpi="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110" zoomScaleNormal="110" workbookViewId="0">
      <selection activeCell="A10" sqref="A10:I10"/>
    </sheetView>
  </sheetViews>
  <sheetFormatPr defaultColWidth="7.5" defaultRowHeight="10.5"/>
  <cols>
    <col min="1" max="1" width="7.375" style="1" customWidth="1"/>
    <col min="2" max="2" width="39.75" style="1" customWidth="1"/>
    <col min="3" max="3" width="9.125" style="1" bestFit="1" customWidth="1"/>
    <col min="4" max="4" width="8.375" style="1" customWidth="1"/>
    <col min="5" max="5" width="11.625" style="1" bestFit="1" customWidth="1"/>
    <col min="6" max="6" width="11.625" style="1" customWidth="1"/>
    <col min="7" max="8" width="11" style="1" customWidth="1"/>
    <col min="9" max="9" width="12" style="1" customWidth="1"/>
    <col min="10" max="248" width="7.5" style="1"/>
    <col min="249" max="249" width="4.5" style="1" bestFit="1" customWidth="1"/>
    <col min="250" max="250" width="9.5" style="1" customWidth="1"/>
    <col min="251" max="251" width="36.375" style="1" customWidth="1"/>
    <col min="252" max="252" width="8.75" style="1" customWidth="1"/>
    <col min="253" max="253" width="11.375" style="1" customWidth="1"/>
    <col min="254" max="254" width="14.5" style="1" customWidth="1"/>
    <col min="255" max="255" width="6.875" style="1" customWidth="1"/>
    <col min="256" max="256" width="6.375" style="1" customWidth="1"/>
    <col min="257" max="257" width="11.875" style="1" customWidth="1"/>
    <col min="258" max="259" width="25" style="1" customWidth="1"/>
    <col min="260" max="504" width="7.5" style="1"/>
    <col min="505" max="505" width="4.5" style="1" bestFit="1" customWidth="1"/>
    <col min="506" max="506" width="9.5" style="1" customWidth="1"/>
    <col min="507" max="507" width="36.375" style="1" customWidth="1"/>
    <col min="508" max="508" width="8.75" style="1" customWidth="1"/>
    <col min="509" max="509" width="11.375" style="1" customWidth="1"/>
    <col min="510" max="510" width="14.5" style="1" customWidth="1"/>
    <col min="511" max="511" width="6.875" style="1" customWidth="1"/>
    <col min="512" max="512" width="6.375" style="1" customWidth="1"/>
    <col min="513" max="513" width="11.875" style="1" customWidth="1"/>
    <col min="514" max="515" width="25" style="1" customWidth="1"/>
    <col min="516" max="760" width="7.5" style="1"/>
    <col min="761" max="761" width="4.5" style="1" bestFit="1" customWidth="1"/>
    <col min="762" max="762" width="9.5" style="1" customWidth="1"/>
    <col min="763" max="763" width="36.375" style="1" customWidth="1"/>
    <col min="764" max="764" width="8.75" style="1" customWidth="1"/>
    <col min="765" max="765" width="11.375" style="1" customWidth="1"/>
    <col min="766" max="766" width="14.5" style="1" customWidth="1"/>
    <col min="767" max="767" width="6.875" style="1" customWidth="1"/>
    <col min="768" max="768" width="6.375" style="1" customWidth="1"/>
    <col min="769" max="769" width="11.875" style="1" customWidth="1"/>
    <col min="770" max="771" width="25" style="1" customWidth="1"/>
    <col min="772" max="1016" width="7.5" style="1"/>
    <col min="1017" max="1017" width="4.5" style="1" bestFit="1" customWidth="1"/>
    <col min="1018" max="1018" width="9.5" style="1" customWidth="1"/>
    <col min="1019" max="1019" width="36.375" style="1" customWidth="1"/>
    <col min="1020" max="1020" width="8.75" style="1" customWidth="1"/>
    <col min="1021" max="1021" width="11.375" style="1" customWidth="1"/>
    <col min="1022" max="1022" width="14.5" style="1" customWidth="1"/>
    <col min="1023" max="1023" width="6.875" style="1" customWidth="1"/>
    <col min="1024" max="1024" width="6.375" style="1" customWidth="1"/>
    <col min="1025" max="1025" width="11.875" style="1" customWidth="1"/>
    <col min="1026" max="1027" width="25" style="1" customWidth="1"/>
    <col min="1028" max="1272" width="7.5" style="1"/>
    <col min="1273" max="1273" width="4.5" style="1" bestFit="1" customWidth="1"/>
    <col min="1274" max="1274" width="9.5" style="1" customWidth="1"/>
    <col min="1275" max="1275" width="36.375" style="1" customWidth="1"/>
    <col min="1276" max="1276" width="8.75" style="1" customWidth="1"/>
    <col min="1277" max="1277" width="11.375" style="1" customWidth="1"/>
    <col min="1278" max="1278" width="14.5" style="1" customWidth="1"/>
    <col min="1279" max="1279" width="6.875" style="1" customWidth="1"/>
    <col min="1280" max="1280" width="6.375" style="1" customWidth="1"/>
    <col min="1281" max="1281" width="11.875" style="1" customWidth="1"/>
    <col min="1282" max="1283" width="25" style="1" customWidth="1"/>
    <col min="1284" max="1528" width="7.5" style="1"/>
    <col min="1529" max="1529" width="4.5" style="1" bestFit="1" customWidth="1"/>
    <col min="1530" max="1530" width="9.5" style="1" customWidth="1"/>
    <col min="1531" max="1531" width="36.375" style="1" customWidth="1"/>
    <col min="1532" max="1532" width="8.75" style="1" customWidth="1"/>
    <col min="1533" max="1533" width="11.375" style="1" customWidth="1"/>
    <col min="1534" max="1534" width="14.5" style="1" customWidth="1"/>
    <col min="1535" max="1535" width="6.875" style="1" customWidth="1"/>
    <col min="1536" max="1536" width="6.375" style="1" customWidth="1"/>
    <col min="1537" max="1537" width="11.875" style="1" customWidth="1"/>
    <col min="1538" max="1539" width="25" style="1" customWidth="1"/>
    <col min="1540" max="1784" width="7.5" style="1"/>
    <col min="1785" max="1785" width="4.5" style="1" bestFit="1" customWidth="1"/>
    <col min="1786" max="1786" width="9.5" style="1" customWidth="1"/>
    <col min="1787" max="1787" width="36.375" style="1" customWidth="1"/>
    <col min="1788" max="1788" width="8.75" style="1" customWidth="1"/>
    <col min="1789" max="1789" width="11.375" style="1" customWidth="1"/>
    <col min="1790" max="1790" width="14.5" style="1" customWidth="1"/>
    <col min="1791" max="1791" width="6.875" style="1" customWidth="1"/>
    <col min="1792" max="1792" width="6.375" style="1" customWidth="1"/>
    <col min="1793" max="1793" width="11.875" style="1" customWidth="1"/>
    <col min="1794" max="1795" width="25" style="1" customWidth="1"/>
    <col min="1796" max="2040" width="7.5" style="1"/>
    <col min="2041" max="2041" width="4.5" style="1" bestFit="1" customWidth="1"/>
    <col min="2042" max="2042" width="9.5" style="1" customWidth="1"/>
    <col min="2043" max="2043" width="36.375" style="1" customWidth="1"/>
    <col min="2044" max="2044" width="8.75" style="1" customWidth="1"/>
    <col min="2045" max="2045" width="11.375" style="1" customWidth="1"/>
    <col min="2046" max="2046" width="14.5" style="1" customWidth="1"/>
    <col min="2047" max="2047" width="6.875" style="1" customWidth="1"/>
    <col min="2048" max="2048" width="6.375" style="1" customWidth="1"/>
    <col min="2049" max="2049" width="11.875" style="1" customWidth="1"/>
    <col min="2050" max="2051" width="25" style="1" customWidth="1"/>
    <col min="2052" max="2296" width="7.5" style="1"/>
    <col min="2297" max="2297" width="4.5" style="1" bestFit="1" customWidth="1"/>
    <col min="2298" max="2298" width="9.5" style="1" customWidth="1"/>
    <col min="2299" max="2299" width="36.375" style="1" customWidth="1"/>
    <col min="2300" max="2300" width="8.75" style="1" customWidth="1"/>
    <col min="2301" max="2301" width="11.375" style="1" customWidth="1"/>
    <col min="2302" max="2302" width="14.5" style="1" customWidth="1"/>
    <col min="2303" max="2303" width="6.875" style="1" customWidth="1"/>
    <col min="2304" max="2304" width="6.375" style="1" customWidth="1"/>
    <col min="2305" max="2305" width="11.875" style="1" customWidth="1"/>
    <col min="2306" max="2307" width="25" style="1" customWidth="1"/>
    <col min="2308" max="2552" width="7.5" style="1"/>
    <col min="2553" max="2553" width="4.5" style="1" bestFit="1" customWidth="1"/>
    <col min="2554" max="2554" width="9.5" style="1" customWidth="1"/>
    <col min="2555" max="2555" width="36.375" style="1" customWidth="1"/>
    <col min="2556" max="2556" width="8.75" style="1" customWidth="1"/>
    <col min="2557" max="2557" width="11.375" style="1" customWidth="1"/>
    <col min="2558" max="2558" width="14.5" style="1" customWidth="1"/>
    <col min="2559" max="2559" width="6.875" style="1" customWidth="1"/>
    <col min="2560" max="2560" width="6.375" style="1" customWidth="1"/>
    <col min="2561" max="2561" width="11.875" style="1" customWidth="1"/>
    <col min="2562" max="2563" width="25" style="1" customWidth="1"/>
    <col min="2564" max="2808" width="7.5" style="1"/>
    <col min="2809" max="2809" width="4.5" style="1" bestFit="1" customWidth="1"/>
    <col min="2810" max="2810" width="9.5" style="1" customWidth="1"/>
    <col min="2811" max="2811" width="36.375" style="1" customWidth="1"/>
    <col min="2812" max="2812" width="8.75" style="1" customWidth="1"/>
    <col min="2813" max="2813" width="11.375" style="1" customWidth="1"/>
    <col min="2814" max="2814" width="14.5" style="1" customWidth="1"/>
    <col min="2815" max="2815" width="6.875" style="1" customWidth="1"/>
    <col min="2816" max="2816" width="6.375" style="1" customWidth="1"/>
    <col min="2817" max="2817" width="11.875" style="1" customWidth="1"/>
    <col min="2818" max="2819" width="25" style="1" customWidth="1"/>
    <col min="2820" max="3064" width="7.5" style="1"/>
    <col min="3065" max="3065" width="4.5" style="1" bestFit="1" customWidth="1"/>
    <col min="3066" max="3066" width="9.5" style="1" customWidth="1"/>
    <col min="3067" max="3067" width="36.375" style="1" customWidth="1"/>
    <col min="3068" max="3068" width="8.75" style="1" customWidth="1"/>
    <col min="3069" max="3069" width="11.375" style="1" customWidth="1"/>
    <col min="3070" max="3070" width="14.5" style="1" customWidth="1"/>
    <col min="3071" max="3071" width="6.875" style="1" customWidth="1"/>
    <col min="3072" max="3072" width="6.375" style="1" customWidth="1"/>
    <col min="3073" max="3073" width="11.875" style="1" customWidth="1"/>
    <col min="3074" max="3075" width="25" style="1" customWidth="1"/>
    <col min="3076" max="3320" width="7.5" style="1"/>
    <col min="3321" max="3321" width="4.5" style="1" bestFit="1" customWidth="1"/>
    <col min="3322" max="3322" width="9.5" style="1" customWidth="1"/>
    <col min="3323" max="3323" width="36.375" style="1" customWidth="1"/>
    <col min="3324" max="3324" width="8.75" style="1" customWidth="1"/>
    <col min="3325" max="3325" width="11.375" style="1" customWidth="1"/>
    <col min="3326" max="3326" width="14.5" style="1" customWidth="1"/>
    <col min="3327" max="3327" width="6.875" style="1" customWidth="1"/>
    <col min="3328" max="3328" width="6.375" style="1" customWidth="1"/>
    <col min="3329" max="3329" width="11.875" style="1" customWidth="1"/>
    <col min="3330" max="3331" width="25" style="1" customWidth="1"/>
    <col min="3332" max="3576" width="7.5" style="1"/>
    <col min="3577" max="3577" width="4.5" style="1" bestFit="1" customWidth="1"/>
    <col min="3578" max="3578" width="9.5" style="1" customWidth="1"/>
    <col min="3579" max="3579" width="36.375" style="1" customWidth="1"/>
    <col min="3580" max="3580" width="8.75" style="1" customWidth="1"/>
    <col min="3581" max="3581" width="11.375" style="1" customWidth="1"/>
    <col min="3582" max="3582" width="14.5" style="1" customWidth="1"/>
    <col min="3583" max="3583" width="6.875" style="1" customWidth="1"/>
    <col min="3584" max="3584" width="6.375" style="1" customWidth="1"/>
    <col min="3585" max="3585" width="11.875" style="1" customWidth="1"/>
    <col min="3586" max="3587" width="25" style="1" customWidth="1"/>
    <col min="3588" max="3832" width="7.5" style="1"/>
    <col min="3833" max="3833" width="4.5" style="1" bestFit="1" customWidth="1"/>
    <col min="3834" max="3834" width="9.5" style="1" customWidth="1"/>
    <col min="3835" max="3835" width="36.375" style="1" customWidth="1"/>
    <col min="3836" max="3836" width="8.75" style="1" customWidth="1"/>
    <col min="3837" max="3837" width="11.375" style="1" customWidth="1"/>
    <col min="3838" max="3838" width="14.5" style="1" customWidth="1"/>
    <col min="3839" max="3839" width="6.875" style="1" customWidth="1"/>
    <col min="3840" max="3840" width="6.375" style="1" customWidth="1"/>
    <col min="3841" max="3841" width="11.875" style="1" customWidth="1"/>
    <col min="3842" max="3843" width="25" style="1" customWidth="1"/>
    <col min="3844" max="4088" width="7.5" style="1"/>
    <col min="4089" max="4089" width="4.5" style="1" bestFit="1" customWidth="1"/>
    <col min="4090" max="4090" width="9.5" style="1" customWidth="1"/>
    <col min="4091" max="4091" width="36.375" style="1" customWidth="1"/>
    <col min="4092" max="4092" width="8.75" style="1" customWidth="1"/>
    <col min="4093" max="4093" width="11.375" style="1" customWidth="1"/>
    <col min="4094" max="4094" width="14.5" style="1" customWidth="1"/>
    <col min="4095" max="4095" width="6.875" style="1" customWidth="1"/>
    <col min="4096" max="4096" width="6.375" style="1" customWidth="1"/>
    <col min="4097" max="4097" width="11.875" style="1" customWidth="1"/>
    <col min="4098" max="4099" width="25" style="1" customWidth="1"/>
    <col min="4100" max="4344" width="7.5" style="1"/>
    <col min="4345" max="4345" width="4.5" style="1" bestFit="1" customWidth="1"/>
    <col min="4346" max="4346" width="9.5" style="1" customWidth="1"/>
    <col min="4347" max="4347" width="36.375" style="1" customWidth="1"/>
    <col min="4348" max="4348" width="8.75" style="1" customWidth="1"/>
    <col min="4349" max="4349" width="11.375" style="1" customWidth="1"/>
    <col min="4350" max="4350" width="14.5" style="1" customWidth="1"/>
    <col min="4351" max="4351" width="6.875" style="1" customWidth="1"/>
    <col min="4352" max="4352" width="6.375" style="1" customWidth="1"/>
    <col min="4353" max="4353" width="11.875" style="1" customWidth="1"/>
    <col min="4354" max="4355" width="25" style="1" customWidth="1"/>
    <col min="4356" max="4600" width="7.5" style="1"/>
    <col min="4601" max="4601" width="4.5" style="1" bestFit="1" customWidth="1"/>
    <col min="4602" max="4602" width="9.5" style="1" customWidth="1"/>
    <col min="4603" max="4603" width="36.375" style="1" customWidth="1"/>
    <col min="4604" max="4604" width="8.75" style="1" customWidth="1"/>
    <col min="4605" max="4605" width="11.375" style="1" customWidth="1"/>
    <col min="4606" max="4606" width="14.5" style="1" customWidth="1"/>
    <col min="4607" max="4607" width="6.875" style="1" customWidth="1"/>
    <col min="4608" max="4608" width="6.375" style="1" customWidth="1"/>
    <col min="4609" max="4609" width="11.875" style="1" customWidth="1"/>
    <col min="4610" max="4611" width="25" style="1" customWidth="1"/>
    <col min="4612" max="4856" width="7.5" style="1"/>
    <col min="4857" max="4857" width="4.5" style="1" bestFit="1" customWidth="1"/>
    <col min="4858" max="4858" width="9.5" style="1" customWidth="1"/>
    <col min="4859" max="4859" width="36.375" style="1" customWidth="1"/>
    <col min="4860" max="4860" width="8.75" style="1" customWidth="1"/>
    <col min="4861" max="4861" width="11.375" style="1" customWidth="1"/>
    <col min="4862" max="4862" width="14.5" style="1" customWidth="1"/>
    <col min="4863" max="4863" width="6.875" style="1" customWidth="1"/>
    <col min="4864" max="4864" width="6.375" style="1" customWidth="1"/>
    <col min="4865" max="4865" width="11.875" style="1" customWidth="1"/>
    <col min="4866" max="4867" width="25" style="1" customWidth="1"/>
    <col min="4868" max="5112" width="7.5" style="1"/>
    <col min="5113" max="5113" width="4.5" style="1" bestFit="1" customWidth="1"/>
    <col min="5114" max="5114" width="9.5" style="1" customWidth="1"/>
    <col min="5115" max="5115" width="36.375" style="1" customWidth="1"/>
    <col min="5116" max="5116" width="8.75" style="1" customWidth="1"/>
    <col min="5117" max="5117" width="11.375" style="1" customWidth="1"/>
    <col min="5118" max="5118" width="14.5" style="1" customWidth="1"/>
    <col min="5119" max="5119" width="6.875" style="1" customWidth="1"/>
    <col min="5120" max="5120" width="6.375" style="1" customWidth="1"/>
    <col min="5121" max="5121" width="11.875" style="1" customWidth="1"/>
    <col min="5122" max="5123" width="25" style="1" customWidth="1"/>
    <col min="5124" max="5368" width="7.5" style="1"/>
    <col min="5369" max="5369" width="4.5" style="1" bestFit="1" customWidth="1"/>
    <col min="5370" max="5370" width="9.5" style="1" customWidth="1"/>
    <col min="5371" max="5371" width="36.375" style="1" customWidth="1"/>
    <col min="5372" max="5372" width="8.75" style="1" customWidth="1"/>
    <col min="5373" max="5373" width="11.375" style="1" customWidth="1"/>
    <col min="5374" max="5374" width="14.5" style="1" customWidth="1"/>
    <col min="5375" max="5375" width="6.875" style="1" customWidth="1"/>
    <col min="5376" max="5376" width="6.375" style="1" customWidth="1"/>
    <col min="5377" max="5377" width="11.875" style="1" customWidth="1"/>
    <col min="5378" max="5379" width="25" style="1" customWidth="1"/>
    <col min="5380" max="5624" width="7.5" style="1"/>
    <col min="5625" max="5625" width="4.5" style="1" bestFit="1" customWidth="1"/>
    <col min="5626" max="5626" width="9.5" style="1" customWidth="1"/>
    <col min="5627" max="5627" width="36.375" style="1" customWidth="1"/>
    <col min="5628" max="5628" width="8.75" style="1" customWidth="1"/>
    <col min="5629" max="5629" width="11.375" style="1" customWidth="1"/>
    <col min="5630" max="5630" width="14.5" style="1" customWidth="1"/>
    <col min="5631" max="5631" width="6.875" style="1" customWidth="1"/>
    <col min="5632" max="5632" width="6.375" style="1" customWidth="1"/>
    <col min="5633" max="5633" width="11.875" style="1" customWidth="1"/>
    <col min="5634" max="5635" width="25" style="1" customWidth="1"/>
    <col min="5636" max="5880" width="7.5" style="1"/>
    <col min="5881" max="5881" width="4.5" style="1" bestFit="1" customWidth="1"/>
    <col min="5882" max="5882" width="9.5" style="1" customWidth="1"/>
    <col min="5883" max="5883" width="36.375" style="1" customWidth="1"/>
    <col min="5884" max="5884" width="8.75" style="1" customWidth="1"/>
    <col min="5885" max="5885" width="11.375" style="1" customWidth="1"/>
    <col min="5886" max="5886" width="14.5" style="1" customWidth="1"/>
    <col min="5887" max="5887" width="6.875" style="1" customWidth="1"/>
    <col min="5888" max="5888" width="6.375" style="1" customWidth="1"/>
    <col min="5889" max="5889" width="11.875" style="1" customWidth="1"/>
    <col min="5890" max="5891" width="25" style="1" customWidth="1"/>
    <col min="5892" max="6136" width="7.5" style="1"/>
    <col min="6137" max="6137" width="4.5" style="1" bestFit="1" customWidth="1"/>
    <col min="6138" max="6138" width="9.5" style="1" customWidth="1"/>
    <col min="6139" max="6139" width="36.375" style="1" customWidth="1"/>
    <col min="6140" max="6140" width="8.75" style="1" customWidth="1"/>
    <col min="6141" max="6141" width="11.375" style="1" customWidth="1"/>
    <col min="6142" max="6142" width="14.5" style="1" customWidth="1"/>
    <col min="6143" max="6143" width="6.875" style="1" customWidth="1"/>
    <col min="6144" max="6144" width="6.375" style="1" customWidth="1"/>
    <col min="6145" max="6145" width="11.875" style="1" customWidth="1"/>
    <col min="6146" max="6147" width="25" style="1" customWidth="1"/>
    <col min="6148" max="6392" width="7.5" style="1"/>
    <col min="6393" max="6393" width="4.5" style="1" bestFit="1" customWidth="1"/>
    <col min="6394" max="6394" width="9.5" style="1" customWidth="1"/>
    <col min="6395" max="6395" width="36.375" style="1" customWidth="1"/>
    <col min="6396" max="6396" width="8.75" style="1" customWidth="1"/>
    <col min="6397" max="6397" width="11.375" style="1" customWidth="1"/>
    <col min="6398" max="6398" width="14.5" style="1" customWidth="1"/>
    <col min="6399" max="6399" width="6.875" style="1" customWidth="1"/>
    <col min="6400" max="6400" width="6.375" style="1" customWidth="1"/>
    <col min="6401" max="6401" width="11.875" style="1" customWidth="1"/>
    <col min="6402" max="6403" width="25" style="1" customWidth="1"/>
    <col min="6404" max="6648" width="7.5" style="1"/>
    <col min="6649" max="6649" width="4.5" style="1" bestFit="1" customWidth="1"/>
    <col min="6650" max="6650" width="9.5" style="1" customWidth="1"/>
    <col min="6651" max="6651" width="36.375" style="1" customWidth="1"/>
    <col min="6652" max="6652" width="8.75" style="1" customWidth="1"/>
    <col min="6653" max="6653" width="11.375" style="1" customWidth="1"/>
    <col min="6654" max="6654" width="14.5" style="1" customWidth="1"/>
    <col min="6655" max="6655" width="6.875" style="1" customWidth="1"/>
    <col min="6656" max="6656" width="6.375" style="1" customWidth="1"/>
    <col min="6657" max="6657" width="11.875" style="1" customWidth="1"/>
    <col min="6658" max="6659" width="25" style="1" customWidth="1"/>
    <col min="6660" max="6904" width="7.5" style="1"/>
    <col min="6905" max="6905" width="4.5" style="1" bestFit="1" customWidth="1"/>
    <col min="6906" max="6906" width="9.5" style="1" customWidth="1"/>
    <col min="6907" max="6907" width="36.375" style="1" customWidth="1"/>
    <col min="6908" max="6908" width="8.75" style="1" customWidth="1"/>
    <col min="6909" max="6909" width="11.375" style="1" customWidth="1"/>
    <col min="6910" max="6910" width="14.5" style="1" customWidth="1"/>
    <col min="6911" max="6911" width="6.875" style="1" customWidth="1"/>
    <col min="6912" max="6912" width="6.375" style="1" customWidth="1"/>
    <col min="6913" max="6913" width="11.875" style="1" customWidth="1"/>
    <col min="6914" max="6915" width="25" style="1" customWidth="1"/>
    <col min="6916" max="7160" width="7.5" style="1"/>
    <col min="7161" max="7161" width="4.5" style="1" bestFit="1" customWidth="1"/>
    <col min="7162" max="7162" width="9.5" style="1" customWidth="1"/>
    <col min="7163" max="7163" width="36.375" style="1" customWidth="1"/>
    <col min="7164" max="7164" width="8.75" style="1" customWidth="1"/>
    <col min="7165" max="7165" width="11.375" style="1" customWidth="1"/>
    <col min="7166" max="7166" width="14.5" style="1" customWidth="1"/>
    <col min="7167" max="7167" width="6.875" style="1" customWidth="1"/>
    <col min="7168" max="7168" width="6.375" style="1" customWidth="1"/>
    <col min="7169" max="7169" width="11.875" style="1" customWidth="1"/>
    <col min="7170" max="7171" width="25" style="1" customWidth="1"/>
    <col min="7172" max="7416" width="7.5" style="1"/>
    <col min="7417" max="7417" width="4.5" style="1" bestFit="1" customWidth="1"/>
    <col min="7418" max="7418" width="9.5" style="1" customWidth="1"/>
    <col min="7419" max="7419" width="36.375" style="1" customWidth="1"/>
    <col min="7420" max="7420" width="8.75" style="1" customWidth="1"/>
    <col min="7421" max="7421" width="11.375" style="1" customWidth="1"/>
    <col min="7422" max="7422" width="14.5" style="1" customWidth="1"/>
    <col min="7423" max="7423" width="6.875" style="1" customWidth="1"/>
    <col min="7424" max="7424" width="6.375" style="1" customWidth="1"/>
    <col min="7425" max="7425" width="11.875" style="1" customWidth="1"/>
    <col min="7426" max="7427" width="25" style="1" customWidth="1"/>
    <col min="7428" max="7672" width="7.5" style="1"/>
    <col min="7673" max="7673" width="4.5" style="1" bestFit="1" customWidth="1"/>
    <col min="7674" max="7674" width="9.5" style="1" customWidth="1"/>
    <col min="7675" max="7675" width="36.375" style="1" customWidth="1"/>
    <col min="7676" max="7676" width="8.75" style="1" customWidth="1"/>
    <col min="7677" max="7677" width="11.375" style="1" customWidth="1"/>
    <col min="7678" max="7678" width="14.5" style="1" customWidth="1"/>
    <col min="7679" max="7679" width="6.875" style="1" customWidth="1"/>
    <col min="7680" max="7680" width="6.375" style="1" customWidth="1"/>
    <col min="7681" max="7681" width="11.875" style="1" customWidth="1"/>
    <col min="7682" max="7683" width="25" style="1" customWidth="1"/>
    <col min="7684" max="7928" width="7.5" style="1"/>
    <col min="7929" max="7929" width="4.5" style="1" bestFit="1" customWidth="1"/>
    <col min="7930" max="7930" width="9.5" style="1" customWidth="1"/>
    <col min="7931" max="7931" width="36.375" style="1" customWidth="1"/>
    <col min="7932" max="7932" width="8.75" style="1" customWidth="1"/>
    <col min="7933" max="7933" width="11.375" style="1" customWidth="1"/>
    <col min="7934" max="7934" width="14.5" style="1" customWidth="1"/>
    <col min="7935" max="7935" width="6.875" style="1" customWidth="1"/>
    <col min="7936" max="7936" width="6.375" style="1" customWidth="1"/>
    <col min="7937" max="7937" width="11.875" style="1" customWidth="1"/>
    <col min="7938" max="7939" width="25" style="1" customWidth="1"/>
    <col min="7940" max="8184" width="7.5" style="1"/>
    <col min="8185" max="8185" width="4.5" style="1" bestFit="1" customWidth="1"/>
    <col min="8186" max="8186" width="9.5" style="1" customWidth="1"/>
    <col min="8187" max="8187" width="36.375" style="1" customWidth="1"/>
    <col min="8188" max="8188" width="8.75" style="1" customWidth="1"/>
    <col min="8189" max="8189" width="11.375" style="1" customWidth="1"/>
    <col min="8190" max="8190" width="14.5" style="1" customWidth="1"/>
    <col min="8191" max="8191" width="6.875" style="1" customWidth="1"/>
    <col min="8192" max="8192" width="6.375" style="1" customWidth="1"/>
    <col min="8193" max="8193" width="11.875" style="1" customWidth="1"/>
    <col min="8194" max="8195" width="25" style="1" customWidth="1"/>
    <col min="8196" max="8440" width="7.5" style="1"/>
    <col min="8441" max="8441" width="4.5" style="1" bestFit="1" customWidth="1"/>
    <col min="8442" max="8442" width="9.5" style="1" customWidth="1"/>
    <col min="8443" max="8443" width="36.375" style="1" customWidth="1"/>
    <col min="8444" max="8444" width="8.75" style="1" customWidth="1"/>
    <col min="8445" max="8445" width="11.375" style="1" customWidth="1"/>
    <col min="8446" max="8446" width="14.5" style="1" customWidth="1"/>
    <col min="8447" max="8447" width="6.875" style="1" customWidth="1"/>
    <col min="8448" max="8448" width="6.375" style="1" customWidth="1"/>
    <col min="8449" max="8449" width="11.875" style="1" customWidth="1"/>
    <col min="8450" max="8451" width="25" style="1" customWidth="1"/>
    <col min="8452" max="8696" width="7.5" style="1"/>
    <col min="8697" max="8697" width="4.5" style="1" bestFit="1" customWidth="1"/>
    <col min="8698" max="8698" width="9.5" style="1" customWidth="1"/>
    <col min="8699" max="8699" width="36.375" style="1" customWidth="1"/>
    <col min="8700" max="8700" width="8.75" style="1" customWidth="1"/>
    <col min="8701" max="8701" width="11.375" style="1" customWidth="1"/>
    <col min="8702" max="8702" width="14.5" style="1" customWidth="1"/>
    <col min="8703" max="8703" width="6.875" style="1" customWidth="1"/>
    <col min="8704" max="8704" width="6.375" style="1" customWidth="1"/>
    <col min="8705" max="8705" width="11.875" style="1" customWidth="1"/>
    <col min="8706" max="8707" width="25" style="1" customWidth="1"/>
    <col min="8708" max="8952" width="7.5" style="1"/>
    <col min="8953" max="8953" width="4.5" style="1" bestFit="1" customWidth="1"/>
    <col min="8954" max="8954" width="9.5" style="1" customWidth="1"/>
    <col min="8955" max="8955" width="36.375" style="1" customWidth="1"/>
    <col min="8956" max="8956" width="8.75" style="1" customWidth="1"/>
    <col min="8957" max="8957" width="11.375" style="1" customWidth="1"/>
    <col min="8958" max="8958" width="14.5" style="1" customWidth="1"/>
    <col min="8959" max="8959" width="6.875" style="1" customWidth="1"/>
    <col min="8960" max="8960" width="6.375" style="1" customWidth="1"/>
    <col min="8961" max="8961" width="11.875" style="1" customWidth="1"/>
    <col min="8962" max="8963" width="25" style="1" customWidth="1"/>
    <col min="8964" max="9208" width="7.5" style="1"/>
    <col min="9209" max="9209" width="4.5" style="1" bestFit="1" customWidth="1"/>
    <col min="9210" max="9210" width="9.5" style="1" customWidth="1"/>
    <col min="9211" max="9211" width="36.375" style="1" customWidth="1"/>
    <col min="9212" max="9212" width="8.75" style="1" customWidth="1"/>
    <col min="9213" max="9213" width="11.375" style="1" customWidth="1"/>
    <col min="9214" max="9214" width="14.5" style="1" customWidth="1"/>
    <col min="9215" max="9215" width="6.875" style="1" customWidth="1"/>
    <col min="9216" max="9216" width="6.375" style="1" customWidth="1"/>
    <col min="9217" max="9217" width="11.875" style="1" customWidth="1"/>
    <col min="9218" max="9219" width="25" style="1" customWidth="1"/>
    <col min="9220" max="9464" width="7.5" style="1"/>
    <col min="9465" max="9465" width="4.5" style="1" bestFit="1" customWidth="1"/>
    <col min="9466" max="9466" width="9.5" style="1" customWidth="1"/>
    <col min="9467" max="9467" width="36.375" style="1" customWidth="1"/>
    <col min="9468" max="9468" width="8.75" style="1" customWidth="1"/>
    <col min="9469" max="9469" width="11.375" style="1" customWidth="1"/>
    <col min="9470" max="9470" width="14.5" style="1" customWidth="1"/>
    <col min="9471" max="9471" width="6.875" style="1" customWidth="1"/>
    <col min="9472" max="9472" width="6.375" style="1" customWidth="1"/>
    <col min="9473" max="9473" width="11.875" style="1" customWidth="1"/>
    <col min="9474" max="9475" width="25" style="1" customWidth="1"/>
    <col min="9476" max="9720" width="7.5" style="1"/>
    <col min="9721" max="9721" width="4.5" style="1" bestFit="1" customWidth="1"/>
    <col min="9722" max="9722" width="9.5" style="1" customWidth="1"/>
    <col min="9723" max="9723" width="36.375" style="1" customWidth="1"/>
    <col min="9724" max="9724" width="8.75" style="1" customWidth="1"/>
    <col min="9725" max="9725" width="11.375" style="1" customWidth="1"/>
    <col min="9726" max="9726" width="14.5" style="1" customWidth="1"/>
    <col min="9727" max="9727" width="6.875" style="1" customWidth="1"/>
    <col min="9728" max="9728" width="6.375" style="1" customWidth="1"/>
    <col min="9729" max="9729" width="11.875" style="1" customWidth="1"/>
    <col min="9730" max="9731" width="25" style="1" customWidth="1"/>
    <col min="9732" max="9976" width="7.5" style="1"/>
    <col min="9977" max="9977" width="4.5" style="1" bestFit="1" customWidth="1"/>
    <col min="9978" max="9978" width="9.5" style="1" customWidth="1"/>
    <col min="9979" max="9979" width="36.375" style="1" customWidth="1"/>
    <col min="9980" max="9980" width="8.75" style="1" customWidth="1"/>
    <col min="9981" max="9981" width="11.375" style="1" customWidth="1"/>
    <col min="9982" max="9982" width="14.5" style="1" customWidth="1"/>
    <col min="9983" max="9983" width="6.875" style="1" customWidth="1"/>
    <col min="9984" max="9984" width="6.375" style="1" customWidth="1"/>
    <col min="9985" max="9985" width="11.875" style="1" customWidth="1"/>
    <col min="9986" max="9987" width="25" style="1" customWidth="1"/>
    <col min="9988" max="10232" width="7.5" style="1"/>
    <col min="10233" max="10233" width="4.5" style="1" bestFit="1" customWidth="1"/>
    <col min="10234" max="10234" width="9.5" style="1" customWidth="1"/>
    <col min="10235" max="10235" width="36.375" style="1" customWidth="1"/>
    <col min="10236" max="10236" width="8.75" style="1" customWidth="1"/>
    <col min="10237" max="10237" width="11.375" style="1" customWidth="1"/>
    <col min="10238" max="10238" width="14.5" style="1" customWidth="1"/>
    <col min="10239" max="10239" width="6.875" style="1" customWidth="1"/>
    <col min="10240" max="10240" width="6.375" style="1" customWidth="1"/>
    <col min="10241" max="10241" width="11.875" style="1" customWidth="1"/>
    <col min="10242" max="10243" width="25" style="1" customWidth="1"/>
    <col min="10244" max="10488" width="7.5" style="1"/>
    <col min="10489" max="10489" width="4.5" style="1" bestFit="1" customWidth="1"/>
    <col min="10490" max="10490" width="9.5" style="1" customWidth="1"/>
    <col min="10491" max="10491" width="36.375" style="1" customWidth="1"/>
    <col min="10492" max="10492" width="8.75" style="1" customWidth="1"/>
    <col min="10493" max="10493" width="11.375" style="1" customWidth="1"/>
    <col min="10494" max="10494" width="14.5" style="1" customWidth="1"/>
    <col min="10495" max="10495" width="6.875" style="1" customWidth="1"/>
    <col min="10496" max="10496" width="6.375" style="1" customWidth="1"/>
    <col min="10497" max="10497" width="11.875" style="1" customWidth="1"/>
    <col min="10498" max="10499" width="25" style="1" customWidth="1"/>
    <col min="10500" max="10744" width="7.5" style="1"/>
    <col min="10745" max="10745" width="4.5" style="1" bestFit="1" customWidth="1"/>
    <col min="10746" max="10746" width="9.5" style="1" customWidth="1"/>
    <col min="10747" max="10747" width="36.375" style="1" customWidth="1"/>
    <col min="10748" max="10748" width="8.75" style="1" customWidth="1"/>
    <col min="10749" max="10749" width="11.375" style="1" customWidth="1"/>
    <col min="10750" max="10750" width="14.5" style="1" customWidth="1"/>
    <col min="10751" max="10751" width="6.875" style="1" customWidth="1"/>
    <col min="10752" max="10752" width="6.375" style="1" customWidth="1"/>
    <col min="10753" max="10753" width="11.875" style="1" customWidth="1"/>
    <col min="10754" max="10755" width="25" style="1" customWidth="1"/>
    <col min="10756" max="11000" width="7.5" style="1"/>
    <col min="11001" max="11001" width="4.5" style="1" bestFit="1" customWidth="1"/>
    <col min="11002" max="11002" width="9.5" style="1" customWidth="1"/>
    <col min="11003" max="11003" width="36.375" style="1" customWidth="1"/>
    <col min="11004" max="11004" width="8.75" style="1" customWidth="1"/>
    <col min="11005" max="11005" width="11.375" style="1" customWidth="1"/>
    <col min="11006" max="11006" width="14.5" style="1" customWidth="1"/>
    <col min="11007" max="11007" width="6.875" style="1" customWidth="1"/>
    <col min="11008" max="11008" width="6.375" style="1" customWidth="1"/>
    <col min="11009" max="11009" width="11.875" style="1" customWidth="1"/>
    <col min="11010" max="11011" width="25" style="1" customWidth="1"/>
    <col min="11012" max="11256" width="7.5" style="1"/>
    <col min="11257" max="11257" width="4.5" style="1" bestFit="1" customWidth="1"/>
    <col min="11258" max="11258" width="9.5" style="1" customWidth="1"/>
    <col min="11259" max="11259" width="36.375" style="1" customWidth="1"/>
    <col min="11260" max="11260" width="8.75" style="1" customWidth="1"/>
    <col min="11261" max="11261" width="11.375" style="1" customWidth="1"/>
    <col min="11262" max="11262" width="14.5" style="1" customWidth="1"/>
    <col min="11263" max="11263" width="6.875" style="1" customWidth="1"/>
    <col min="11264" max="11264" width="6.375" style="1" customWidth="1"/>
    <col min="11265" max="11265" width="11.875" style="1" customWidth="1"/>
    <col min="11266" max="11267" width="25" style="1" customWidth="1"/>
    <col min="11268" max="11512" width="7.5" style="1"/>
    <col min="11513" max="11513" width="4.5" style="1" bestFit="1" customWidth="1"/>
    <col min="11514" max="11514" width="9.5" style="1" customWidth="1"/>
    <col min="11515" max="11515" width="36.375" style="1" customWidth="1"/>
    <col min="11516" max="11516" width="8.75" style="1" customWidth="1"/>
    <col min="11517" max="11517" width="11.375" style="1" customWidth="1"/>
    <col min="11518" max="11518" width="14.5" style="1" customWidth="1"/>
    <col min="11519" max="11519" width="6.875" style="1" customWidth="1"/>
    <col min="11520" max="11520" width="6.375" style="1" customWidth="1"/>
    <col min="11521" max="11521" width="11.875" style="1" customWidth="1"/>
    <col min="11522" max="11523" width="25" style="1" customWidth="1"/>
    <col min="11524" max="11768" width="7.5" style="1"/>
    <col min="11769" max="11769" width="4.5" style="1" bestFit="1" customWidth="1"/>
    <col min="11770" max="11770" width="9.5" style="1" customWidth="1"/>
    <col min="11771" max="11771" width="36.375" style="1" customWidth="1"/>
    <col min="11772" max="11772" width="8.75" style="1" customWidth="1"/>
    <col min="11773" max="11773" width="11.375" style="1" customWidth="1"/>
    <col min="11774" max="11774" width="14.5" style="1" customWidth="1"/>
    <col min="11775" max="11775" width="6.875" style="1" customWidth="1"/>
    <col min="11776" max="11776" width="6.375" style="1" customWidth="1"/>
    <col min="11777" max="11777" width="11.875" style="1" customWidth="1"/>
    <col min="11778" max="11779" width="25" style="1" customWidth="1"/>
    <col min="11780" max="12024" width="7.5" style="1"/>
    <col min="12025" max="12025" width="4.5" style="1" bestFit="1" customWidth="1"/>
    <col min="12026" max="12026" width="9.5" style="1" customWidth="1"/>
    <col min="12027" max="12027" width="36.375" style="1" customWidth="1"/>
    <col min="12028" max="12028" width="8.75" style="1" customWidth="1"/>
    <col min="12029" max="12029" width="11.375" style="1" customWidth="1"/>
    <col min="12030" max="12030" width="14.5" style="1" customWidth="1"/>
    <col min="12031" max="12031" width="6.875" style="1" customWidth="1"/>
    <col min="12032" max="12032" width="6.375" style="1" customWidth="1"/>
    <col min="12033" max="12033" width="11.875" style="1" customWidth="1"/>
    <col min="12034" max="12035" width="25" style="1" customWidth="1"/>
    <col min="12036" max="12280" width="7.5" style="1"/>
    <col min="12281" max="12281" width="4.5" style="1" bestFit="1" customWidth="1"/>
    <col min="12282" max="12282" width="9.5" style="1" customWidth="1"/>
    <col min="12283" max="12283" width="36.375" style="1" customWidth="1"/>
    <col min="12284" max="12284" width="8.75" style="1" customWidth="1"/>
    <col min="12285" max="12285" width="11.375" style="1" customWidth="1"/>
    <col min="12286" max="12286" width="14.5" style="1" customWidth="1"/>
    <col min="12287" max="12287" width="6.875" style="1" customWidth="1"/>
    <col min="12288" max="12288" width="6.375" style="1" customWidth="1"/>
    <col min="12289" max="12289" width="11.875" style="1" customWidth="1"/>
    <col min="12290" max="12291" width="25" style="1" customWidth="1"/>
    <col min="12292" max="12536" width="7.5" style="1"/>
    <col min="12537" max="12537" width="4.5" style="1" bestFit="1" customWidth="1"/>
    <col min="12538" max="12538" width="9.5" style="1" customWidth="1"/>
    <col min="12539" max="12539" width="36.375" style="1" customWidth="1"/>
    <col min="12540" max="12540" width="8.75" style="1" customWidth="1"/>
    <col min="12541" max="12541" width="11.375" style="1" customWidth="1"/>
    <col min="12542" max="12542" width="14.5" style="1" customWidth="1"/>
    <col min="12543" max="12543" width="6.875" style="1" customWidth="1"/>
    <col min="12544" max="12544" width="6.375" style="1" customWidth="1"/>
    <col min="12545" max="12545" width="11.875" style="1" customWidth="1"/>
    <col min="12546" max="12547" width="25" style="1" customWidth="1"/>
    <col min="12548" max="12792" width="7.5" style="1"/>
    <col min="12793" max="12793" width="4.5" style="1" bestFit="1" customWidth="1"/>
    <col min="12794" max="12794" width="9.5" style="1" customWidth="1"/>
    <col min="12795" max="12795" width="36.375" style="1" customWidth="1"/>
    <col min="12796" max="12796" width="8.75" style="1" customWidth="1"/>
    <col min="12797" max="12797" width="11.375" style="1" customWidth="1"/>
    <col min="12798" max="12798" width="14.5" style="1" customWidth="1"/>
    <col min="12799" max="12799" width="6.875" style="1" customWidth="1"/>
    <col min="12800" max="12800" width="6.375" style="1" customWidth="1"/>
    <col min="12801" max="12801" width="11.875" style="1" customWidth="1"/>
    <col min="12802" max="12803" width="25" style="1" customWidth="1"/>
    <col min="12804" max="13048" width="7.5" style="1"/>
    <col min="13049" max="13049" width="4.5" style="1" bestFit="1" customWidth="1"/>
    <col min="13050" max="13050" width="9.5" style="1" customWidth="1"/>
    <col min="13051" max="13051" width="36.375" style="1" customWidth="1"/>
    <col min="13052" max="13052" width="8.75" style="1" customWidth="1"/>
    <col min="13053" max="13053" width="11.375" style="1" customWidth="1"/>
    <col min="13054" max="13054" width="14.5" style="1" customWidth="1"/>
    <col min="13055" max="13055" width="6.875" style="1" customWidth="1"/>
    <col min="13056" max="13056" width="6.375" style="1" customWidth="1"/>
    <col min="13057" max="13057" width="11.875" style="1" customWidth="1"/>
    <col min="13058" max="13059" width="25" style="1" customWidth="1"/>
    <col min="13060" max="13304" width="7.5" style="1"/>
    <col min="13305" max="13305" width="4.5" style="1" bestFit="1" customWidth="1"/>
    <col min="13306" max="13306" width="9.5" style="1" customWidth="1"/>
    <col min="13307" max="13307" width="36.375" style="1" customWidth="1"/>
    <col min="13308" max="13308" width="8.75" style="1" customWidth="1"/>
    <col min="13309" max="13309" width="11.375" style="1" customWidth="1"/>
    <col min="13310" max="13310" width="14.5" style="1" customWidth="1"/>
    <col min="13311" max="13311" width="6.875" style="1" customWidth="1"/>
    <col min="13312" max="13312" width="6.375" style="1" customWidth="1"/>
    <col min="13313" max="13313" width="11.875" style="1" customWidth="1"/>
    <col min="13314" max="13315" width="25" style="1" customWidth="1"/>
    <col min="13316" max="13560" width="7.5" style="1"/>
    <col min="13561" max="13561" width="4.5" style="1" bestFit="1" customWidth="1"/>
    <col min="13562" max="13562" width="9.5" style="1" customWidth="1"/>
    <col min="13563" max="13563" width="36.375" style="1" customWidth="1"/>
    <col min="13564" max="13564" width="8.75" style="1" customWidth="1"/>
    <col min="13565" max="13565" width="11.375" style="1" customWidth="1"/>
    <col min="13566" max="13566" width="14.5" style="1" customWidth="1"/>
    <col min="13567" max="13567" width="6.875" style="1" customWidth="1"/>
    <col min="13568" max="13568" width="6.375" style="1" customWidth="1"/>
    <col min="13569" max="13569" width="11.875" style="1" customWidth="1"/>
    <col min="13570" max="13571" width="25" style="1" customWidth="1"/>
    <col min="13572" max="13816" width="7.5" style="1"/>
    <col min="13817" max="13817" width="4.5" style="1" bestFit="1" customWidth="1"/>
    <col min="13818" max="13818" width="9.5" style="1" customWidth="1"/>
    <col min="13819" max="13819" width="36.375" style="1" customWidth="1"/>
    <col min="13820" max="13820" width="8.75" style="1" customWidth="1"/>
    <col min="13821" max="13821" width="11.375" style="1" customWidth="1"/>
    <col min="13822" max="13822" width="14.5" style="1" customWidth="1"/>
    <col min="13823" max="13823" width="6.875" style="1" customWidth="1"/>
    <col min="13824" max="13824" width="6.375" style="1" customWidth="1"/>
    <col min="13825" max="13825" width="11.875" style="1" customWidth="1"/>
    <col min="13826" max="13827" width="25" style="1" customWidth="1"/>
    <col min="13828" max="14072" width="7.5" style="1"/>
    <col min="14073" max="14073" width="4.5" style="1" bestFit="1" customWidth="1"/>
    <col min="14074" max="14074" width="9.5" style="1" customWidth="1"/>
    <col min="14075" max="14075" width="36.375" style="1" customWidth="1"/>
    <col min="14076" max="14076" width="8.75" style="1" customWidth="1"/>
    <col min="14077" max="14077" width="11.375" style="1" customWidth="1"/>
    <col min="14078" max="14078" width="14.5" style="1" customWidth="1"/>
    <col min="14079" max="14079" width="6.875" style="1" customWidth="1"/>
    <col min="14080" max="14080" width="6.375" style="1" customWidth="1"/>
    <col min="14081" max="14081" width="11.875" style="1" customWidth="1"/>
    <col min="14082" max="14083" width="25" style="1" customWidth="1"/>
    <col min="14084" max="14328" width="7.5" style="1"/>
    <col min="14329" max="14329" width="4.5" style="1" bestFit="1" customWidth="1"/>
    <col min="14330" max="14330" width="9.5" style="1" customWidth="1"/>
    <col min="14331" max="14331" width="36.375" style="1" customWidth="1"/>
    <col min="14332" max="14332" width="8.75" style="1" customWidth="1"/>
    <col min="14333" max="14333" width="11.375" style="1" customWidth="1"/>
    <col min="14334" max="14334" width="14.5" style="1" customWidth="1"/>
    <col min="14335" max="14335" width="6.875" style="1" customWidth="1"/>
    <col min="14336" max="14336" width="6.375" style="1" customWidth="1"/>
    <col min="14337" max="14337" width="11.875" style="1" customWidth="1"/>
    <col min="14338" max="14339" width="25" style="1" customWidth="1"/>
    <col min="14340" max="14584" width="7.5" style="1"/>
    <col min="14585" max="14585" width="4.5" style="1" bestFit="1" customWidth="1"/>
    <col min="14586" max="14586" width="9.5" style="1" customWidth="1"/>
    <col min="14587" max="14587" width="36.375" style="1" customWidth="1"/>
    <col min="14588" max="14588" width="8.75" style="1" customWidth="1"/>
    <col min="14589" max="14589" width="11.375" style="1" customWidth="1"/>
    <col min="14590" max="14590" width="14.5" style="1" customWidth="1"/>
    <col min="14591" max="14591" width="6.875" style="1" customWidth="1"/>
    <col min="14592" max="14592" width="6.375" style="1" customWidth="1"/>
    <col min="14593" max="14593" width="11.875" style="1" customWidth="1"/>
    <col min="14594" max="14595" width="25" style="1" customWidth="1"/>
    <col min="14596" max="14840" width="7.5" style="1"/>
    <col min="14841" max="14841" width="4.5" style="1" bestFit="1" customWidth="1"/>
    <col min="14842" max="14842" width="9.5" style="1" customWidth="1"/>
    <col min="14843" max="14843" width="36.375" style="1" customWidth="1"/>
    <col min="14844" max="14844" width="8.75" style="1" customWidth="1"/>
    <col min="14845" max="14845" width="11.375" style="1" customWidth="1"/>
    <col min="14846" max="14846" width="14.5" style="1" customWidth="1"/>
    <col min="14847" max="14847" width="6.875" style="1" customWidth="1"/>
    <col min="14848" max="14848" width="6.375" style="1" customWidth="1"/>
    <col min="14849" max="14849" width="11.875" style="1" customWidth="1"/>
    <col min="14850" max="14851" width="25" style="1" customWidth="1"/>
    <col min="14852" max="15096" width="7.5" style="1"/>
    <col min="15097" max="15097" width="4.5" style="1" bestFit="1" customWidth="1"/>
    <col min="15098" max="15098" width="9.5" style="1" customWidth="1"/>
    <col min="15099" max="15099" width="36.375" style="1" customWidth="1"/>
    <col min="15100" max="15100" width="8.75" style="1" customWidth="1"/>
    <col min="15101" max="15101" width="11.375" style="1" customWidth="1"/>
    <col min="15102" max="15102" width="14.5" style="1" customWidth="1"/>
    <col min="15103" max="15103" width="6.875" style="1" customWidth="1"/>
    <col min="15104" max="15104" width="6.375" style="1" customWidth="1"/>
    <col min="15105" max="15105" width="11.875" style="1" customWidth="1"/>
    <col min="15106" max="15107" width="25" style="1" customWidth="1"/>
    <col min="15108" max="15352" width="7.5" style="1"/>
    <col min="15353" max="15353" width="4.5" style="1" bestFit="1" customWidth="1"/>
    <col min="15354" max="15354" width="9.5" style="1" customWidth="1"/>
    <col min="15355" max="15355" width="36.375" style="1" customWidth="1"/>
    <col min="15356" max="15356" width="8.75" style="1" customWidth="1"/>
    <col min="15357" max="15357" width="11.375" style="1" customWidth="1"/>
    <col min="15358" max="15358" width="14.5" style="1" customWidth="1"/>
    <col min="15359" max="15359" width="6.875" style="1" customWidth="1"/>
    <col min="15360" max="15360" width="6.375" style="1" customWidth="1"/>
    <col min="15361" max="15361" width="11.875" style="1" customWidth="1"/>
    <col min="15362" max="15363" width="25" style="1" customWidth="1"/>
    <col min="15364" max="15608" width="7.5" style="1"/>
    <col min="15609" max="15609" width="4.5" style="1" bestFit="1" customWidth="1"/>
    <col min="15610" max="15610" width="9.5" style="1" customWidth="1"/>
    <col min="15611" max="15611" width="36.375" style="1" customWidth="1"/>
    <col min="15612" max="15612" width="8.75" style="1" customWidth="1"/>
    <col min="15613" max="15613" width="11.375" style="1" customWidth="1"/>
    <col min="15614" max="15614" width="14.5" style="1" customWidth="1"/>
    <col min="15615" max="15615" width="6.875" style="1" customWidth="1"/>
    <col min="15616" max="15616" width="6.375" style="1" customWidth="1"/>
    <col min="15617" max="15617" width="11.875" style="1" customWidth="1"/>
    <col min="15618" max="15619" width="25" style="1" customWidth="1"/>
    <col min="15620" max="15864" width="7.5" style="1"/>
    <col min="15865" max="15865" width="4.5" style="1" bestFit="1" customWidth="1"/>
    <col min="15866" max="15866" width="9.5" style="1" customWidth="1"/>
    <col min="15867" max="15867" width="36.375" style="1" customWidth="1"/>
    <col min="15868" max="15868" width="8.75" style="1" customWidth="1"/>
    <col min="15869" max="15869" width="11.375" style="1" customWidth="1"/>
    <col min="15870" max="15870" width="14.5" style="1" customWidth="1"/>
    <col min="15871" max="15871" width="6.875" style="1" customWidth="1"/>
    <col min="15872" max="15872" width="6.375" style="1" customWidth="1"/>
    <col min="15873" max="15873" width="11.875" style="1" customWidth="1"/>
    <col min="15874" max="15875" width="25" style="1" customWidth="1"/>
    <col min="15876" max="16120" width="7.5" style="1"/>
    <col min="16121" max="16121" width="4.5" style="1" bestFit="1" customWidth="1"/>
    <col min="16122" max="16122" width="9.5" style="1" customWidth="1"/>
    <col min="16123" max="16123" width="36.375" style="1" customWidth="1"/>
    <col min="16124" max="16124" width="8.75" style="1" customWidth="1"/>
    <col min="16125" max="16125" width="11.375" style="1" customWidth="1"/>
    <col min="16126" max="16126" width="14.5" style="1" customWidth="1"/>
    <col min="16127" max="16127" width="6.875" style="1" customWidth="1"/>
    <col min="16128" max="16128" width="6.375" style="1" customWidth="1"/>
    <col min="16129" max="16129" width="11.875" style="1" customWidth="1"/>
    <col min="16130" max="16131" width="25" style="1" customWidth="1"/>
    <col min="16132" max="16384" width="7.5" style="1"/>
  </cols>
  <sheetData>
    <row r="1" spans="1:10" ht="18.75">
      <c r="A1" s="593" t="s">
        <v>440</v>
      </c>
      <c r="B1" s="593"/>
      <c r="C1" s="593"/>
      <c r="D1" s="593"/>
      <c r="E1" s="593"/>
      <c r="F1" s="593"/>
      <c r="G1" s="593"/>
      <c r="H1" s="593"/>
      <c r="I1" s="593"/>
      <c r="J1" s="292"/>
    </row>
    <row r="2" spans="1:10" ht="18.75">
      <c r="A2" s="593" t="s">
        <v>441</v>
      </c>
      <c r="B2" s="593"/>
      <c r="C2" s="593"/>
      <c r="D2" s="593"/>
      <c r="E2" s="593"/>
      <c r="F2" s="593"/>
      <c r="G2" s="593"/>
      <c r="H2" s="593"/>
      <c r="I2" s="593"/>
      <c r="J2" s="292"/>
    </row>
    <row r="3" spans="1:10" ht="15.75">
      <c r="A3" s="22"/>
      <c r="B3" s="22"/>
      <c r="C3" s="22"/>
      <c r="D3" s="22"/>
      <c r="E3" s="22"/>
      <c r="F3" s="22"/>
      <c r="G3" s="22"/>
      <c r="H3" s="22"/>
      <c r="I3" s="22"/>
    </row>
    <row r="4" spans="1:10" ht="15.75">
      <c r="A4" s="596" t="s">
        <v>0</v>
      </c>
      <c r="B4" s="596" t="s">
        <v>44</v>
      </c>
      <c r="C4" s="596" t="s">
        <v>1</v>
      </c>
      <c r="D4" s="621" t="s">
        <v>385</v>
      </c>
      <c r="E4" s="622"/>
      <c r="F4" s="642" t="s">
        <v>389</v>
      </c>
      <c r="G4" s="643"/>
      <c r="H4" s="594" t="s">
        <v>356</v>
      </c>
      <c r="I4" s="595"/>
    </row>
    <row r="5" spans="1:10" ht="31.5">
      <c r="A5" s="597"/>
      <c r="B5" s="597"/>
      <c r="C5" s="597"/>
      <c r="D5" s="281" t="s">
        <v>349</v>
      </c>
      <c r="E5" s="282" t="s">
        <v>350</v>
      </c>
      <c r="F5" s="281" t="s">
        <v>349</v>
      </c>
      <c r="G5" s="282" t="s">
        <v>350</v>
      </c>
      <c r="H5" s="281" t="s">
        <v>349</v>
      </c>
      <c r="I5" s="282" t="s">
        <v>350</v>
      </c>
    </row>
    <row r="6" spans="1:10" ht="15.75">
      <c r="A6" s="185">
        <v>1</v>
      </c>
      <c r="B6" s="226" t="s">
        <v>171</v>
      </c>
      <c r="C6" s="227" t="s">
        <v>387</v>
      </c>
      <c r="D6" s="462">
        <v>0.43266400000000016</v>
      </c>
      <c r="E6" s="276">
        <f>bang51!K6</f>
        <v>0.46100000000000002</v>
      </c>
      <c r="F6" s="271">
        <f>18800/1.1</f>
        <v>17090.909090909088</v>
      </c>
      <c r="G6" s="293">
        <f>17700/1.1</f>
        <v>16090.90909090909</v>
      </c>
      <c r="H6" s="293">
        <f>D6*F6</f>
        <v>7394.6210909090923</v>
      </c>
      <c r="I6" s="271">
        <f>E6*G6</f>
        <v>7417.909090909091</v>
      </c>
    </row>
    <row r="7" spans="1:10" ht="15.75">
      <c r="A7" s="185">
        <v>2</v>
      </c>
      <c r="B7" s="226" t="s">
        <v>172</v>
      </c>
      <c r="C7" s="227" t="s">
        <v>387</v>
      </c>
      <c r="D7" s="462">
        <v>5.7840000000000009E-3</v>
      </c>
      <c r="E7" s="276">
        <f>bang51!K7</f>
        <v>6.4000000000000003E-3</v>
      </c>
      <c r="F7" s="271">
        <f>19280/1.1</f>
        <v>17527.272727272724</v>
      </c>
      <c r="G7" s="293">
        <f>18280/1.1</f>
        <v>16618.181818181816</v>
      </c>
      <c r="H7" s="293">
        <f>D7*F7</f>
        <v>101.37774545454545</v>
      </c>
      <c r="I7" s="271">
        <f>E7*G7</f>
        <v>106.35636363636362</v>
      </c>
    </row>
    <row r="8" spans="1:10" ht="15.75">
      <c r="A8" s="158"/>
      <c r="B8" s="12" t="s">
        <v>357</v>
      </c>
      <c r="C8" s="12"/>
      <c r="D8" s="12"/>
      <c r="E8" s="13"/>
      <c r="F8" s="13"/>
      <c r="G8" s="16"/>
      <c r="H8" s="14">
        <f>SUM(H6:H7)</f>
        <v>7495.9988363636376</v>
      </c>
      <c r="I8" s="14">
        <f>SUM(I6:I7)</f>
        <v>7524.2654545454543</v>
      </c>
    </row>
    <row r="9" spans="1:10" ht="15.75">
      <c r="A9" s="482"/>
      <c r="B9" s="483"/>
      <c r="C9" s="483"/>
      <c r="D9" s="483"/>
      <c r="E9" s="484"/>
      <c r="F9" s="484"/>
      <c r="G9" s="485"/>
      <c r="H9" s="486"/>
      <c r="I9" s="486"/>
    </row>
    <row r="10" spans="1:10" ht="17.25" customHeight="1">
      <c r="A10" s="641" t="s">
        <v>650</v>
      </c>
      <c r="B10" s="641"/>
      <c r="C10" s="641"/>
      <c r="D10" s="641"/>
      <c r="E10" s="641"/>
      <c r="F10" s="641"/>
      <c r="G10" s="641"/>
      <c r="H10" s="641"/>
      <c r="I10" s="641"/>
    </row>
    <row r="11" spans="1:10" s="238" customFormat="1" ht="20.25" customHeight="1">
      <c r="A11" s="639" t="s">
        <v>651</v>
      </c>
      <c r="B11" s="640"/>
      <c r="C11" s="640"/>
      <c r="D11" s="640"/>
      <c r="E11" s="640"/>
      <c r="F11" s="640"/>
      <c r="G11" s="640"/>
      <c r="H11" s="640"/>
      <c r="I11" s="640"/>
    </row>
    <row r="12" spans="1:10" s="238" customFormat="1" ht="17.25" customHeight="1">
      <c r="A12" s="639" t="s">
        <v>649</v>
      </c>
      <c r="B12" s="640"/>
      <c r="C12" s="640"/>
      <c r="D12" s="640"/>
      <c r="E12" s="640"/>
      <c r="F12" s="640"/>
      <c r="G12" s="640"/>
      <c r="H12" s="640"/>
      <c r="I12" s="640"/>
    </row>
  </sheetData>
  <mergeCells count="11">
    <mergeCell ref="A12:I12"/>
    <mergeCell ref="A1:I1"/>
    <mergeCell ref="A2:I2"/>
    <mergeCell ref="A10:I10"/>
    <mergeCell ref="A11:I11"/>
    <mergeCell ref="D4:E4"/>
    <mergeCell ref="H4:I4"/>
    <mergeCell ref="B4:B5"/>
    <mergeCell ref="C4:C5"/>
    <mergeCell ref="A4:A5"/>
    <mergeCell ref="F4:G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90" zoomScaleNormal="90" workbookViewId="0">
      <selection activeCell="L6" sqref="L6:L19"/>
    </sheetView>
  </sheetViews>
  <sheetFormatPr defaultColWidth="7.5" defaultRowHeight="10.5"/>
  <cols>
    <col min="1" max="1" width="5.25" style="1" customWidth="1"/>
    <col min="2" max="2" width="36" style="1" customWidth="1"/>
    <col min="3" max="3" width="13.5" style="1" customWidth="1"/>
    <col min="4" max="4" width="9.125" style="1" customWidth="1"/>
    <col min="5" max="5" width="13.125" style="1" customWidth="1"/>
    <col min="6" max="7" width="10.375" style="1" customWidth="1"/>
    <col min="8" max="9" width="10.875" style="1" customWidth="1"/>
    <col min="10" max="10" width="14" style="1" customWidth="1"/>
    <col min="11" max="11" width="15.625" style="1" customWidth="1"/>
    <col min="12" max="12" width="21" style="1" customWidth="1"/>
    <col min="13" max="256" width="7.5" style="1"/>
    <col min="257" max="257" width="4.5" style="1" bestFit="1" customWidth="1"/>
    <col min="258" max="258" width="9.5" style="1" customWidth="1"/>
    <col min="259" max="259" width="36.375" style="1" customWidth="1"/>
    <col min="260" max="260" width="8.75" style="1" customWidth="1"/>
    <col min="261" max="261" width="11.375" style="1" customWidth="1"/>
    <col min="262" max="262" width="14.5" style="1" customWidth="1"/>
    <col min="263" max="263" width="6.875" style="1" customWidth="1"/>
    <col min="264" max="264" width="6.375" style="1" customWidth="1"/>
    <col min="265" max="265" width="11.875" style="1" customWidth="1"/>
    <col min="266" max="267" width="25" style="1" customWidth="1"/>
    <col min="268" max="512" width="7.5" style="1"/>
    <col min="513" max="513" width="4.5" style="1" bestFit="1" customWidth="1"/>
    <col min="514" max="514" width="9.5" style="1" customWidth="1"/>
    <col min="515" max="515" width="36.375" style="1" customWidth="1"/>
    <col min="516" max="516" width="8.75" style="1" customWidth="1"/>
    <col min="517" max="517" width="11.375" style="1" customWidth="1"/>
    <col min="518" max="518" width="14.5" style="1" customWidth="1"/>
    <col min="519" max="519" width="6.875" style="1" customWidth="1"/>
    <col min="520" max="520" width="6.375" style="1" customWidth="1"/>
    <col min="521" max="521" width="11.875" style="1" customWidth="1"/>
    <col min="522" max="523" width="25" style="1" customWidth="1"/>
    <col min="524" max="768" width="7.5" style="1"/>
    <col min="769" max="769" width="4.5" style="1" bestFit="1" customWidth="1"/>
    <col min="770" max="770" width="9.5" style="1" customWidth="1"/>
    <col min="771" max="771" width="36.375" style="1" customWidth="1"/>
    <col min="772" max="772" width="8.75" style="1" customWidth="1"/>
    <col min="773" max="773" width="11.375" style="1" customWidth="1"/>
    <col min="774" max="774" width="14.5" style="1" customWidth="1"/>
    <col min="775" max="775" width="6.875" style="1" customWidth="1"/>
    <col min="776" max="776" width="6.375" style="1" customWidth="1"/>
    <col min="777" max="777" width="11.875" style="1" customWidth="1"/>
    <col min="778" max="779" width="25" style="1" customWidth="1"/>
    <col min="780" max="1024" width="7.5" style="1"/>
    <col min="1025" max="1025" width="4.5" style="1" bestFit="1" customWidth="1"/>
    <col min="1026" max="1026" width="9.5" style="1" customWidth="1"/>
    <col min="1027" max="1027" width="36.375" style="1" customWidth="1"/>
    <col min="1028" max="1028" width="8.75" style="1" customWidth="1"/>
    <col min="1029" max="1029" width="11.375" style="1" customWidth="1"/>
    <col min="1030" max="1030" width="14.5" style="1" customWidth="1"/>
    <col min="1031" max="1031" width="6.875" style="1" customWidth="1"/>
    <col min="1032" max="1032" width="6.375" style="1" customWidth="1"/>
    <col min="1033" max="1033" width="11.875" style="1" customWidth="1"/>
    <col min="1034" max="1035" width="25" style="1" customWidth="1"/>
    <col min="1036" max="1280" width="7.5" style="1"/>
    <col min="1281" max="1281" width="4.5" style="1" bestFit="1" customWidth="1"/>
    <col min="1282" max="1282" width="9.5" style="1" customWidth="1"/>
    <col min="1283" max="1283" width="36.375" style="1" customWidth="1"/>
    <col min="1284" max="1284" width="8.75" style="1" customWidth="1"/>
    <col min="1285" max="1285" width="11.375" style="1" customWidth="1"/>
    <col min="1286" max="1286" width="14.5" style="1" customWidth="1"/>
    <col min="1287" max="1287" width="6.875" style="1" customWidth="1"/>
    <col min="1288" max="1288" width="6.375" style="1" customWidth="1"/>
    <col min="1289" max="1289" width="11.875" style="1" customWidth="1"/>
    <col min="1290" max="1291" width="25" style="1" customWidth="1"/>
    <col min="1292" max="1536" width="7.5" style="1"/>
    <col min="1537" max="1537" width="4.5" style="1" bestFit="1" customWidth="1"/>
    <col min="1538" max="1538" width="9.5" style="1" customWidth="1"/>
    <col min="1539" max="1539" width="36.375" style="1" customWidth="1"/>
    <col min="1540" max="1540" width="8.75" style="1" customWidth="1"/>
    <col min="1541" max="1541" width="11.375" style="1" customWidth="1"/>
    <col min="1542" max="1542" width="14.5" style="1" customWidth="1"/>
    <col min="1543" max="1543" width="6.875" style="1" customWidth="1"/>
    <col min="1544" max="1544" width="6.375" style="1" customWidth="1"/>
    <col min="1545" max="1545" width="11.875" style="1" customWidth="1"/>
    <col min="1546" max="1547" width="25" style="1" customWidth="1"/>
    <col min="1548" max="1792" width="7.5" style="1"/>
    <col min="1793" max="1793" width="4.5" style="1" bestFit="1" customWidth="1"/>
    <col min="1794" max="1794" width="9.5" style="1" customWidth="1"/>
    <col min="1795" max="1795" width="36.375" style="1" customWidth="1"/>
    <col min="1796" max="1796" width="8.75" style="1" customWidth="1"/>
    <col min="1797" max="1797" width="11.375" style="1" customWidth="1"/>
    <col min="1798" max="1798" width="14.5" style="1" customWidth="1"/>
    <col min="1799" max="1799" width="6.875" style="1" customWidth="1"/>
    <col min="1800" max="1800" width="6.375" style="1" customWidth="1"/>
    <col min="1801" max="1801" width="11.875" style="1" customWidth="1"/>
    <col min="1802" max="1803" width="25" style="1" customWidth="1"/>
    <col min="1804" max="2048" width="7.5" style="1"/>
    <col min="2049" max="2049" width="4.5" style="1" bestFit="1" customWidth="1"/>
    <col min="2050" max="2050" width="9.5" style="1" customWidth="1"/>
    <col min="2051" max="2051" width="36.375" style="1" customWidth="1"/>
    <col min="2052" max="2052" width="8.75" style="1" customWidth="1"/>
    <col min="2053" max="2053" width="11.375" style="1" customWidth="1"/>
    <col min="2054" max="2054" width="14.5" style="1" customWidth="1"/>
    <col min="2055" max="2055" width="6.875" style="1" customWidth="1"/>
    <col min="2056" max="2056" width="6.375" style="1" customWidth="1"/>
    <col min="2057" max="2057" width="11.875" style="1" customWidth="1"/>
    <col min="2058" max="2059" width="25" style="1" customWidth="1"/>
    <col min="2060" max="2304" width="7.5" style="1"/>
    <col min="2305" max="2305" width="4.5" style="1" bestFit="1" customWidth="1"/>
    <col min="2306" max="2306" width="9.5" style="1" customWidth="1"/>
    <col min="2307" max="2307" width="36.375" style="1" customWidth="1"/>
    <col min="2308" max="2308" width="8.75" style="1" customWidth="1"/>
    <col min="2309" max="2309" width="11.375" style="1" customWidth="1"/>
    <col min="2310" max="2310" width="14.5" style="1" customWidth="1"/>
    <col min="2311" max="2311" width="6.875" style="1" customWidth="1"/>
    <col min="2312" max="2312" width="6.375" style="1" customWidth="1"/>
    <col min="2313" max="2313" width="11.875" style="1" customWidth="1"/>
    <col min="2314" max="2315" width="25" style="1" customWidth="1"/>
    <col min="2316" max="2560" width="7.5" style="1"/>
    <col min="2561" max="2561" width="4.5" style="1" bestFit="1" customWidth="1"/>
    <col min="2562" max="2562" width="9.5" style="1" customWidth="1"/>
    <col min="2563" max="2563" width="36.375" style="1" customWidth="1"/>
    <col min="2564" max="2564" width="8.75" style="1" customWidth="1"/>
    <col min="2565" max="2565" width="11.375" style="1" customWidth="1"/>
    <col min="2566" max="2566" width="14.5" style="1" customWidth="1"/>
    <col min="2567" max="2567" width="6.875" style="1" customWidth="1"/>
    <col min="2568" max="2568" width="6.375" style="1" customWidth="1"/>
    <col min="2569" max="2569" width="11.875" style="1" customWidth="1"/>
    <col min="2570" max="2571" width="25" style="1" customWidth="1"/>
    <col min="2572" max="2816" width="7.5" style="1"/>
    <col min="2817" max="2817" width="4.5" style="1" bestFit="1" customWidth="1"/>
    <col min="2818" max="2818" width="9.5" style="1" customWidth="1"/>
    <col min="2819" max="2819" width="36.375" style="1" customWidth="1"/>
    <col min="2820" max="2820" width="8.75" style="1" customWidth="1"/>
    <col min="2821" max="2821" width="11.375" style="1" customWidth="1"/>
    <col min="2822" max="2822" width="14.5" style="1" customWidth="1"/>
    <col min="2823" max="2823" width="6.875" style="1" customWidth="1"/>
    <col min="2824" max="2824" width="6.375" style="1" customWidth="1"/>
    <col min="2825" max="2825" width="11.875" style="1" customWidth="1"/>
    <col min="2826" max="2827" width="25" style="1" customWidth="1"/>
    <col min="2828" max="3072" width="7.5" style="1"/>
    <col min="3073" max="3073" width="4.5" style="1" bestFit="1" customWidth="1"/>
    <col min="3074" max="3074" width="9.5" style="1" customWidth="1"/>
    <col min="3075" max="3075" width="36.375" style="1" customWidth="1"/>
    <col min="3076" max="3076" width="8.75" style="1" customWidth="1"/>
    <col min="3077" max="3077" width="11.375" style="1" customWidth="1"/>
    <col min="3078" max="3078" width="14.5" style="1" customWidth="1"/>
    <col min="3079" max="3079" width="6.875" style="1" customWidth="1"/>
    <col min="3080" max="3080" width="6.375" style="1" customWidth="1"/>
    <col min="3081" max="3081" width="11.875" style="1" customWidth="1"/>
    <col min="3082" max="3083" width="25" style="1" customWidth="1"/>
    <col min="3084" max="3328" width="7.5" style="1"/>
    <col min="3329" max="3329" width="4.5" style="1" bestFit="1" customWidth="1"/>
    <col min="3330" max="3330" width="9.5" style="1" customWidth="1"/>
    <col min="3331" max="3331" width="36.375" style="1" customWidth="1"/>
    <col min="3332" max="3332" width="8.75" style="1" customWidth="1"/>
    <col min="3333" max="3333" width="11.375" style="1" customWidth="1"/>
    <col min="3334" max="3334" width="14.5" style="1" customWidth="1"/>
    <col min="3335" max="3335" width="6.875" style="1" customWidth="1"/>
    <col min="3336" max="3336" width="6.375" style="1" customWidth="1"/>
    <col min="3337" max="3337" width="11.875" style="1" customWidth="1"/>
    <col min="3338" max="3339" width="25" style="1" customWidth="1"/>
    <col min="3340" max="3584" width="7.5" style="1"/>
    <col min="3585" max="3585" width="4.5" style="1" bestFit="1" customWidth="1"/>
    <col min="3586" max="3586" width="9.5" style="1" customWidth="1"/>
    <col min="3587" max="3587" width="36.375" style="1" customWidth="1"/>
    <col min="3588" max="3588" width="8.75" style="1" customWidth="1"/>
    <col min="3589" max="3589" width="11.375" style="1" customWidth="1"/>
    <col min="3590" max="3590" width="14.5" style="1" customWidth="1"/>
    <col min="3591" max="3591" width="6.875" style="1" customWidth="1"/>
    <col min="3592" max="3592" width="6.375" style="1" customWidth="1"/>
    <col min="3593" max="3593" width="11.875" style="1" customWidth="1"/>
    <col min="3594" max="3595" width="25" style="1" customWidth="1"/>
    <col min="3596" max="3840" width="7.5" style="1"/>
    <col min="3841" max="3841" width="4.5" style="1" bestFit="1" customWidth="1"/>
    <col min="3842" max="3842" width="9.5" style="1" customWidth="1"/>
    <col min="3843" max="3843" width="36.375" style="1" customWidth="1"/>
    <col min="3844" max="3844" width="8.75" style="1" customWidth="1"/>
    <col min="3845" max="3845" width="11.375" style="1" customWidth="1"/>
    <col min="3846" max="3846" width="14.5" style="1" customWidth="1"/>
    <col min="3847" max="3847" width="6.875" style="1" customWidth="1"/>
    <col min="3848" max="3848" width="6.375" style="1" customWidth="1"/>
    <col min="3849" max="3849" width="11.875" style="1" customWidth="1"/>
    <col min="3850" max="3851" width="25" style="1" customWidth="1"/>
    <col min="3852" max="4096" width="7.5" style="1"/>
    <col min="4097" max="4097" width="4.5" style="1" bestFit="1" customWidth="1"/>
    <col min="4098" max="4098" width="9.5" style="1" customWidth="1"/>
    <col min="4099" max="4099" width="36.375" style="1" customWidth="1"/>
    <col min="4100" max="4100" width="8.75" style="1" customWidth="1"/>
    <col min="4101" max="4101" width="11.375" style="1" customWidth="1"/>
    <col min="4102" max="4102" width="14.5" style="1" customWidth="1"/>
    <col min="4103" max="4103" width="6.875" style="1" customWidth="1"/>
    <col min="4104" max="4104" width="6.375" style="1" customWidth="1"/>
    <col min="4105" max="4105" width="11.875" style="1" customWidth="1"/>
    <col min="4106" max="4107" width="25" style="1" customWidth="1"/>
    <col min="4108" max="4352" width="7.5" style="1"/>
    <col min="4353" max="4353" width="4.5" style="1" bestFit="1" customWidth="1"/>
    <col min="4354" max="4354" width="9.5" style="1" customWidth="1"/>
    <col min="4355" max="4355" width="36.375" style="1" customWidth="1"/>
    <col min="4356" max="4356" width="8.75" style="1" customWidth="1"/>
    <col min="4357" max="4357" width="11.375" style="1" customWidth="1"/>
    <col min="4358" max="4358" width="14.5" style="1" customWidth="1"/>
    <col min="4359" max="4359" width="6.875" style="1" customWidth="1"/>
    <col min="4360" max="4360" width="6.375" style="1" customWidth="1"/>
    <col min="4361" max="4361" width="11.875" style="1" customWidth="1"/>
    <col min="4362" max="4363" width="25" style="1" customWidth="1"/>
    <col min="4364" max="4608" width="7.5" style="1"/>
    <col min="4609" max="4609" width="4.5" style="1" bestFit="1" customWidth="1"/>
    <col min="4610" max="4610" width="9.5" style="1" customWidth="1"/>
    <col min="4611" max="4611" width="36.375" style="1" customWidth="1"/>
    <col min="4612" max="4612" width="8.75" style="1" customWidth="1"/>
    <col min="4613" max="4613" width="11.375" style="1" customWidth="1"/>
    <col min="4614" max="4614" width="14.5" style="1" customWidth="1"/>
    <col min="4615" max="4615" width="6.875" style="1" customWidth="1"/>
    <col min="4616" max="4616" width="6.375" style="1" customWidth="1"/>
    <col min="4617" max="4617" width="11.875" style="1" customWidth="1"/>
    <col min="4618" max="4619" width="25" style="1" customWidth="1"/>
    <col min="4620" max="4864" width="7.5" style="1"/>
    <col min="4865" max="4865" width="4.5" style="1" bestFit="1" customWidth="1"/>
    <col min="4866" max="4866" width="9.5" style="1" customWidth="1"/>
    <col min="4867" max="4867" width="36.375" style="1" customWidth="1"/>
    <col min="4868" max="4868" width="8.75" style="1" customWidth="1"/>
    <col min="4869" max="4869" width="11.375" style="1" customWidth="1"/>
    <col min="4870" max="4870" width="14.5" style="1" customWidth="1"/>
    <col min="4871" max="4871" width="6.875" style="1" customWidth="1"/>
    <col min="4872" max="4872" width="6.375" style="1" customWidth="1"/>
    <col min="4873" max="4873" width="11.875" style="1" customWidth="1"/>
    <col min="4874" max="4875" width="25" style="1" customWidth="1"/>
    <col min="4876" max="5120" width="7.5" style="1"/>
    <col min="5121" max="5121" width="4.5" style="1" bestFit="1" customWidth="1"/>
    <col min="5122" max="5122" width="9.5" style="1" customWidth="1"/>
    <col min="5123" max="5123" width="36.375" style="1" customWidth="1"/>
    <col min="5124" max="5124" width="8.75" style="1" customWidth="1"/>
    <col min="5125" max="5125" width="11.375" style="1" customWidth="1"/>
    <col min="5126" max="5126" width="14.5" style="1" customWidth="1"/>
    <col min="5127" max="5127" width="6.875" style="1" customWidth="1"/>
    <col min="5128" max="5128" width="6.375" style="1" customWidth="1"/>
    <col min="5129" max="5129" width="11.875" style="1" customWidth="1"/>
    <col min="5130" max="5131" width="25" style="1" customWidth="1"/>
    <col min="5132" max="5376" width="7.5" style="1"/>
    <col min="5377" max="5377" width="4.5" style="1" bestFit="1" customWidth="1"/>
    <col min="5378" max="5378" width="9.5" style="1" customWidth="1"/>
    <col min="5379" max="5379" width="36.375" style="1" customWidth="1"/>
    <col min="5380" max="5380" width="8.75" style="1" customWidth="1"/>
    <col min="5381" max="5381" width="11.375" style="1" customWidth="1"/>
    <col min="5382" max="5382" width="14.5" style="1" customWidth="1"/>
    <col min="5383" max="5383" width="6.875" style="1" customWidth="1"/>
    <col min="5384" max="5384" width="6.375" style="1" customWidth="1"/>
    <col min="5385" max="5385" width="11.875" style="1" customWidth="1"/>
    <col min="5386" max="5387" width="25" style="1" customWidth="1"/>
    <col min="5388" max="5632" width="7.5" style="1"/>
    <col min="5633" max="5633" width="4.5" style="1" bestFit="1" customWidth="1"/>
    <col min="5634" max="5634" width="9.5" style="1" customWidth="1"/>
    <col min="5635" max="5635" width="36.375" style="1" customWidth="1"/>
    <col min="5636" max="5636" width="8.75" style="1" customWidth="1"/>
    <col min="5637" max="5637" width="11.375" style="1" customWidth="1"/>
    <col min="5638" max="5638" width="14.5" style="1" customWidth="1"/>
    <col min="5639" max="5639" width="6.875" style="1" customWidth="1"/>
    <col min="5640" max="5640" width="6.375" style="1" customWidth="1"/>
    <col min="5641" max="5641" width="11.875" style="1" customWidth="1"/>
    <col min="5642" max="5643" width="25" style="1" customWidth="1"/>
    <col min="5644" max="5888" width="7.5" style="1"/>
    <col min="5889" max="5889" width="4.5" style="1" bestFit="1" customWidth="1"/>
    <col min="5890" max="5890" width="9.5" style="1" customWidth="1"/>
    <col min="5891" max="5891" width="36.375" style="1" customWidth="1"/>
    <col min="5892" max="5892" width="8.75" style="1" customWidth="1"/>
    <col min="5893" max="5893" width="11.375" style="1" customWidth="1"/>
    <col min="5894" max="5894" width="14.5" style="1" customWidth="1"/>
    <col min="5895" max="5895" width="6.875" style="1" customWidth="1"/>
    <col min="5896" max="5896" width="6.375" style="1" customWidth="1"/>
    <col min="5897" max="5897" width="11.875" style="1" customWidth="1"/>
    <col min="5898" max="5899" width="25" style="1" customWidth="1"/>
    <col min="5900" max="6144" width="7.5" style="1"/>
    <col min="6145" max="6145" width="4.5" style="1" bestFit="1" customWidth="1"/>
    <col min="6146" max="6146" width="9.5" style="1" customWidth="1"/>
    <col min="6147" max="6147" width="36.375" style="1" customWidth="1"/>
    <col min="6148" max="6148" width="8.75" style="1" customWidth="1"/>
    <col min="6149" max="6149" width="11.375" style="1" customWidth="1"/>
    <col min="6150" max="6150" width="14.5" style="1" customWidth="1"/>
    <col min="6151" max="6151" width="6.875" style="1" customWidth="1"/>
    <col min="6152" max="6152" width="6.375" style="1" customWidth="1"/>
    <col min="6153" max="6153" width="11.875" style="1" customWidth="1"/>
    <col min="6154" max="6155" width="25" style="1" customWidth="1"/>
    <col min="6156" max="6400" width="7.5" style="1"/>
    <col min="6401" max="6401" width="4.5" style="1" bestFit="1" customWidth="1"/>
    <col min="6402" max="6402" width="9.5" style="1" customWidth="1"/>
    <col min="6403" max="6403" width="36.375" style="1" customWidth="1"/>
    <col min="6404" max="6404" width="8.75" style="1" customWidth="1"/>
    <col min="6405" max="6405" width="11.375" style="1" customWidth="1"/>
    <col min="6406" max="6406" width="14.5" style="1" customWidth="1"/>
    <col min="6407" max="6407" width="6.875" style="1" customWidth="1"/>
    <col min="6408" max="6408" width="6.375" style="1" customWidth="1"/>
    <col min="6409" max="6409" width="11.875" style="1" customWidth="1"/>
    <col min="6410" max="6411" width="25" style="1" customWidth="1"/>
    <col min="6412" max="6656" width="7.5" style="1"/>
    <col min="6657" max="6657" width="4.5" style="1" bestFit="1" customWidth="1"/>
    <col min="6658" max="6658" width="9.5" style="1" customWidth="1"/>
    <col min="6659" max="6659" width="36.375" style="1" customWidth="1"/>
    <col min="6660" max="6660" width="8.75" style="1" customWidth="1"/>
    <col min="6661" max="6661" width="11.375" style="1" customWidth="1"/>
    <col min="6662" max="6662" width="14.5" style="1" customWidth="1"/>
    <col min="6663" max="6663" width="6.875" style="1" customWidth="1"/>
    <col min="6664" max="6664" width="6.375" style="1" customWidth="1"/>
    <col min="6665" max="6665" width="11.875" style="1" customWidth="1"/>
    <col min="6666" max="6667" width="25" style="1" customWidth="1"/>
    <col min="6668" max="6912" width="7.5" style="1"/>
    <col min="6913" max="6913" width="4.5" style="1" bestFit="1" customWidth="1"/>
    <col min="6914" max="6914" width="9.5" style="1" customWidth="1"/>
    <col min="6915" max="6915" width="36.375" style="1" customWidth="1"/>
    <col min="6916" max="6916" width="8.75" style="1" customWidth="1"/>
    <col min="6917" max="6917" width="11.375" style="1" customWidth="1"/>
    <col min="6918" max="6918" width="14.5" style="1" customWidth="1"/>
    <col min="6919" max="6919" width="6.875" style="1" customWidth="1"/>
    <col min="6920" max="6920" width="6.375" style="1" customWidth="1"/>
    <col min="6921" max="6921" width="11.875" style="1" customWidth="1"/>
    <col min="6922" max="6923" width="25" style="1" customWidth="1"/>
    <col min="6924" max="7168" width="7.5" style="1"/>
    <col min="7169" max="7169" width="4.5" style="1" bestFit="1" customWidth="1"/>
    <col min="7170" max="7170" width="9.5" style="1" customWidth="1"/>
    <col min="7171" max="7171" width="36.375" style="1" customWidth="1"/>
    <col min="7172" max="7172" width="8.75" style="1" customWidth="1"/>
    <col min="7173" max="7173" width="11.375" style="1" customWidth="1"/>
    <col min="7174" max="7174" width="14.5" style="1" customWidth="1"/>
    <col min="7175" max="7175" width="6.875" style="1" customWidth="1"/>
    <col min="7176" max="7176" width="6.375" style="1" customWidth="1"/>
    <col min="7177" max="7177" width="11.875" style="1" customWidth="1"/>
    <col min="7178" max="7179" width="25" style="1" customWidth="1"/>
    <col min="7180" max="7424" width="7.5" style="1"/>
    <col min="7425" max="7425" width="4.5" style="1" bestFit="1" customWidth="1"/>
    <col min="7426" max="7426" width="9.5" style="1" customWidth="1"/>
    <col min="7427" max="7427" width="36.375" style="1" customWidth="1"/>
    <col min="7428" max="7428" width="8.75" style="1" customWidth="1"/>
    <col min="7429" max="7429" width="11.375" style="1" customWidth="1"/>
    <col min="7430" max="7430" width="14.5" style="1" customWidth="1"/>
    <col min="7431" max="7431" width="6.875" style="1" customWidth="1"/>
    <col min="7432" max="7432" width="6.375" style="1" customWidth="1"/>
    <col min="7433" max="7433" width="11.875" style="1" customWidth="1"/>
    <col min="7434" max="7435" width="25" style="1" customWidth="1"/>
    <col min="7436" max="7680" width="7.5" style="1"/>
    <col min="7681" max="7681" width="4.5" style="1" bestFit="1" customWidth="1"/>
    <col min="7682" max="7682" width="9.5" style="1" customWidth="1"/>
    <col min="7683" max="7683" width="36.375" style="1" customWidth="1"/>
    <col min="7684" max="7684" width="8.75" style="1" customWidth="1"/>
    <col min="7685" max="7685" width="11.375" style="1" customWidth="1"/>
    <col min="7686" max="7686" width="14.5" style="1" customWidth="1"/>
    <col min="7687" max="7687" width="6.875" style="1" customWidth="1"/>
    <col min="7688" max="7688" width="6.375" style="1" customWidth="1"/>
    <col min="7689" max="7689" width="11.875" style="1" customWidth="1"/>
    <col min="7690" max="7691" width="25" style="1" customWidth="1"/>
    <col min="7692" max="7936" width="7.5" style="1"/>
    <col min="7937" max="7937" width="4.5" style="1" bestFit="1" customWidth="1"/>
    <col min="7938" max="7938" width="9.5" style="1" customWidth="1"/>
    <col min="7939" max="7939" width="36.375" style="1" customWidth="1"/>
    <col min="7940" max="7940" width="8.75" style="1" customWidth="1"/>
    <col min="7941" max="7941" width="11.375" style="1" customWidth="1"/>
    <col min="7942" max="7942" width="14.5" style="1" customWidth="1"/>
    <col min="7943" max="7943" width="6.875" style="1" customWidth="1"/>
    <col min="7944" max="7944" width="6.375" style="1" customWidth="1"/>
    <col min="7945" max="7945" width="11.875" style="1" customWidth="1"/>
    <col min="7946" max="7947" width="25" style="1" customWidth="1"/>
    <col min="7948" max="8192" width="7.5" style="1"/>
    <col min="8193" max="8193" width="4.5" style="1" bestFit="1" customWidth="1"/>
    <col min="8194" max="8194" width="9.5" style="1" customWidth="1"/>
    <col min="8195" max="8195" width="36.375" style="1" customWidth="1"/>
    <col min="8196" max="8196" width="8.75" style="1" customWidth="1"/>
    <col min="8197" max="8197" width="11.375" style="1" customWidth="1"/>
    <col min="8198" max="8198" width="14.5" style="1" customWidth="1"/>
    <col min="8199" max="8199" width="6.875" style="1" customWidth="1"/>
    <col min="8200" max="8200" width="6.375" style="1" customWidth="1"/>
    <col min="8201" max="8201" width="11.875" style="1" customWidth="1"/>
    <col min="8202" max="8203" width="25" style="1" customWidth="1"/>
    <col min="8204" max="8448" width="7.5" style="1"/>
    <col min="8449" max="8449" width="4.5" style="1" bestFit="1" customWidth="1"/>
    <col min="8450" max="8450" width="9.5" style="1" customWidth="1"/>
    <col min="8451" max="8451" width="36.375" style="1" customWidth="1"/>
    <col min="8452" max="8452" width="8.75" style="1" customWidth="1"/>
    <col min="8453" max="8453" width="11.375" style="1" customWidth="1"/>
    <col min="8454" max="8454" width="14.5" style="1" customWidth="1"/>
    <col min="8455" max="8455" width="6.875" style="1" customWidth="1"/>
    <col min="8456" max="8456" width="6.375" style="1" customWidth="1"/>
    <col min="8457" max="8457" width="11.875" style="1" customWidth="1"/>
    <col min="8458" max="8459" width="25" style="1" customWidth="1"/>
    <col min="8460" max="8704" width="7.5" style="1"/>
    <col min="8705" max="8705" width="4.5" style="1" bestFit="1" customWidth="1"/>
    <col min="8706" max="8706" width="9.5" style="1" customWidth="1"/>
    <col min="8707" max="8707" width="36.375" style="1" customWidth="1"/>
    <col min="8708" max="8708" width="8.75" style="1" customWidth="1"/>
    <col min="8709" max="8709" width="11.375" style="1" customWidth="1"/>
    <col min="8710" max="8710" width="14.5" style="1" customWidth="1"/>
    <col min="8711" max="8711" width="6.875" style="1" customWidth="1"/>
    <col min="8712" max="8712" width="6.375" style="1" customWidth="1"/>
    <col min="8713" max="8713" width="11.875" style="1" customWidth="1"/>
    <col min="8714" max="8715" width="25" style="1" customWidth="1"/>
    <col min="8716" max="8960" width="7.5" style="1"/>
    <col min="8961" max="8961" width="4.5" style="1" bestFit="1" customWidth="1"/>
    <col min="8962" max="8962" width="9.5" style="1" customWidth="1"/>
    <col min="8963" max="8963" width="36.375" style="1" customWidth="1"/>
    <col min="8964" max="8964" width="8.75" style="1" customWidth="1"/>
    <col min="8965" max="8965" width="11.375" style="1" customWidth="1"/>
    <col min="8966" max="8966" width="14.5" style="1" customWidth="1"/>
    <col min="8967" max="8967" width="6.875" style="1" customWidth="1"/>
    <col min="8968" max="8968" width="6.375" style="1" customWidth="1"/>
    <col min="8969" max="8969" width="11.875" style="1" customWidth="1"/>
    <col min="8970" max="8971" width="25" style="1" customWidth="1"/>
    <col min="8972" max="9216" width="7.5" style="1"/>
    <col min="9217" max="9217" width="4.5" style="1" bestFit="1" customWidth="1"/>
    <col min="9218" max="9218" width="9.5" style="1" customWidth="1"/>
    <col min="9219" max="9219" width="36.375" style="1" customWidth="1"/>
    <col min="9220" max="9220" width="8.75" style="1" customWidth="1"/>
    <col min="9221" max="9221" width="11.375" style="1" customWidth="1"/>
    <col min="9222" max="9222" width="14.5" style="1" customWidth="1"/>
    <col min="9223" max="9223" width="6.875" style="1" customWidth="1"/>
    <col min="9224" max="9224" width="6.375" style="1" customWidth="1"/>
    <col min="9225" max="9225" width="11.875" style="1" customWidth="1"/>
    <col min="9226" max="9227" width="25" style="1" customWidth="1"/>
    <col min="9228" max="9472" width="7.5" style="1"/>
    <col min="9473" max="9473" width="4.5" style="1" bestFit="1" customWidth="1"/>
    <col min="9474" max="9474" width="9.5" style="1" customWidth="1"/>
    <col min="9475" max="9475" width="36.375" style="1" customWidth="1"/>
    <col min="9476" max="9476" width="8.75" style="1" customWidth="1"/>
    <col min="9477" max="9477" width="11.375" style="1" customWidth="1"/>
    <col min="9478" max="9478" width="14.5" style="1" customWidth="1"/>
    <col min="9479" max="9479" width="6.875" style="1" customWidth="1"/>
    <col min="9480" max="9480" width="6.375" style="1" customWidth="1"/>
    <col min="9481" max="9481" width="11.875" style="1" customWidth="1"/>
    <col min="9482" max="9483" width="25" style="1" customWidth="1"/>
    <col min="9484" max="9728" width="7.5" style="1"/>
    <col min="9729" max="9729" width="4.5" style="1" bestFit="1" customWidth="1"/>
    <col min="9730" max="9730" width="9.5" style="1" customWidth="1"/>
    <col min="9731" max="9731" width="36.375" style="1" customWidth="1"/>
    <col min="9732" max="9732" width="8.75" style="1" customWidth="1"/>
    <col min="9733" max="9733" width="11.375" style="1" customWidth="1"/>
    <col min="9734" max="9734" width="14.5" style="1" customWidth="1"/>
    <col min="9735" max="9735" width="6.875" style="1" customWidth="1"/>
    <col min="9736" max="9736" width="6.375" style="1" customWidth="1"/>
    <col min="9737" max="9737" width="11.875" style="1" customWidth="1"/>
    <col min="9738" max="9739" width="25" style="1" customWidth="1"/>
    <col min="9740" max="9984" width="7.5" style="1"/>
    <col min="9985" max="9985" width="4.5" style="1" bestFit="1" customWidth="1"/>
    <col min="9986" max="9986" width="9.5" style="1" customWidth="1"/>
    <col min="9987" max="9987" width="36.375" style="1" customWidth="1"/>
    <col min="9988" max="9988" width="8.75" style="1" customWidth="1"/>
    <col min="9989" max="9989" width="11.375" style="1" customWidth="1"/>
    <col min="9990" max="9990" width="14.5" style="1" customWidth="1"/>
    <col min="9991" max="9991" width="6.875" style="1" customWidth="1"/>
    <col min="9992" max="9992" width="6.375" style="1" customWidth="1"/>
    <col min="9993" max="9993" width="11.875" style="1" customWidth="1"/>
    <col min="9994" max="9995" width="25" style="1" customWidth="1"/>
    <col min="9996" max="10240" width="7.5" style="1"/>
    <col min="10241" max="10241" width="4.5" style="1" bestFit="1" customWidth="1"/>
    <col min="10242" max="10242" width="9.5" style="1" customWidth="1"/>
    <col min="10243" max="10243" width="36.375" style="1" customWidth="1"/>
    <col min="10244" max="10244" width="8.75" style="1" customWidth="1"/>
    <col min="10245" max="10245" width="11.375" style="1" customWidth="1"/>
    <col min="10246" max="10246" width="14.5" style="1" customWidth="1"/>
    <col min="10247" max="10247" width="6.875" style="1" customWidth="1"/>
    <col min="10248" max="10248" width="6.375" style="1" customWidth="1"/>
    <col min="10249" max="10249" width="11.875" style="1" customWidth="1"/>
    <col min="10250" max="10251" width="25" style="1" customWidth="1"/>
    <col min="10252" max="10496" width="7.5" style="1"/>
    <col min="10497" max="10497" width="4.5" style="1" bestFit="1" customWidth="1"/>
    <col min="10498" max="10498" width="9.5" style="1" customWidth="1"/>
    <col min="10499" max="10499" width="36.375" style="1" customWidth="1"/>
    <col min="10500" max="10500" width="8.75" style="1" customWidth="1"/>
    <col min="10501" max="10501" width="11.375" style="1" customWidth="1"/>
    <col min="10502" max="10502" width="14.5" style="1" customWidth="1"/>
    <col min="10503" max="10503" width="6.875" style="1" customWidth="1"/>
    <col min="10504" max="10504" width="6.375" style="1" customWidth="1"/>
    <col min="10505" max="10505" width="11.875" style="1" customWidth="1"/>
    <col min="10506" max="10507" width="25" style="1" customWidth="1"/>
    <col min="10508" max="10752" width="7.5" style="1"/>
    <col min="10753" max="10753" width="4.5" style="1" bestFit="1" customWidth="1"/>
    <col min="10754" max="10754" width="9.5" style="1" customWidth="1"/>
    <col min="10755" max="10755" width="36.375" style="1" customWidth="1"/>
    <col min="10756" max="10756" width="8.75" style="1" customWidth="1"/>
    <col min="10757" max="10757" width="11.375" style="1" customWidth="1"/>
    <col min="10758" max="10758" width="14.5" style="1" customWidth="1"/>
    <col min="10759" max="10759" width="6.875" style="1" customWidth="1"/>
    <col min="10760" max="10760" width="6.375" style="1" customWidth="1"/>
    <col min="10761" max="10761" width="11.875" style="1" customWidth="1"/>
    <col min="10762" max="10763" width="25" style="1" customWidth="1"/>
    <col min="10764" max="11008" width="7.5" style="1"/>
    <col min="11009" max="11009" width="4.5" style="1" bestFit="1" customWidth="1"/>
    <col min="11010" max="11010" width="9.5" style="1" customWidth="1"/>
    <col min="11011" max="11011" width="36.375" style="1" customWidth="1"/>
    <col min="11012" max="11012" width="8.75" style="1" customWidth="1"/>
    <col min="11013" max="11013" width="11.375" style="1" customWidth="1"/>
    <col min="11014" max="11014" width="14.5" style="1" customWidth="1"/>
    <col min="11015" max="11015" width="6.875" style="1" customWidth="1"/>
    <col min="11016" max="11016" width="6.375" style="1" customWidth="1"/>
    <col min="11017" max="11017" width="11.875" style="1" customWidth="1"/>
    <col min="11018" max="11019" width="25" style="1" customWidth="1"/>
    <col min="11020" max="11264" width="7.5" style="1"/>
    <col min="11265" max="11265" width="4.5" style="1" bestFit="1" customWidth="1"/>
    <col min="11266" max="11266" width="9.5" style="1" customWidth="1"/>
    <col min="11267" max="11267" width="36.375" style="1" customWidth="1"/>
    <col min="11268" max="11268" width="8.75" style="1" customWidth="1"/>
    <col min="11269" max="11269" width="11.375" style="1" customWidth="1"/>
    <col min="11270" max="11270" width="14.5" style="1" customWidth="1"/>
    <col min="11271" max="11271" width="6.875" style="1" customWidth="1"/>
    <col min="11272" max="11272" width="6.375" style="1" customWidth="1"/>
    <col min="11273" max="11273" width="11.875" style="1" customWidth="1"/>
    <col min="11274" max="11275" width="25" style="1" customWidth="1"/>
    <col min="11276" max="11520" width="7.5" style="1"/>
    <col min="11521" max="11521" width="4.5" style="1" bestFit="1" customWidth="1"/>
    <col min="11522" max="11522" width="9.5" style="1" customWidth="1"/>
    <col min="11523" max="11523" width="36.375" style="1" customWidth="1"/>
    <col min="11524" max="11524" width="8.75" style="1" customWidth="1"/>
    <col min="11525" max="11525" width="11.375" style="1" customWidth="1"/>
    <col min="11526" max="11526" width="14.5" style="1" customWidth="1"/>
    <col min="11527" max="11527" width="6.875" style="1" customWidth="1"/>
    <col min="11528" max="11528" width="6.375" style="1" customWidth="1"/>
    <col min="11529" max="11529" width="11.875" style="1" customWidth="1"/>
    <col min="11530" max="11531" width="25" style="1" customWidth="1"/>
    <col min="11532" max="11776" width="7.5" style="1"/>
    <col min="11777" max="11777" width="4.5" style="1" bestFit="1" customWidth="1"/>
    <col min="11778" max="11778" width="9.5" style="1" customWidth="1"/>
    <col min="11779" max="11779" width="36.375" style="1" customWidth="1"/>
    <col min="11780" max="11780" width="8.75" style="1" customWidth="1"/>
    <col min="11781" max="11781" width="11.375" style="1" customWidth="1"/>
    <col min="11782" max="11782" width="14.5" style="1" customWidth="1"/>
    <col min="11783" max="11783" width="6.875" style="1" customWidth="1"/>
    <col min="11784" max="11784" width="6.375" style="1" customWidth="1"/>
    <col min="11785" max="11785" width="11.875" style="1" customWidth="1"/>
    <col min="11786" max="11787" width="25" style="1" customWidth="1"/>
    <col min="11788" max="12032" width="7.5" style="1"/>
    <col min="12033" max="12033" width="4.5" style="1" bestFit="1" customWidth="1"/>
    <col min="12034" max="12034" width="9.5" style="1" customWidth="1"/>
    <col min="12035" max="12035" width="36.375" style="1" customWidth="1"/>
    <col min="12036" max="12036" width="8.75" style="1" customWidth="1"/>
    <col min="12037" max="12037" width="11.375" style="1" customWidth="1"/>
    <col min="12038" max="12038" width="14.5" style="1" customWidth="1"/>
    <col min="12039" max="12039" width="6.875" style="1" customWidth="1"/>
    <col min="12040" max="12040" width="6.375" style="1" customWidth="1"/>
    <col min="12041" max="12041" width="11.875" style="1" customWidth="1"/>
    <col min="12042" max="12043" width="25" style="1" customWidth="1"/>
    <col min="12044" max="12288" width="7.5" style="1"/>
    <col min="12289" max="12289" width="4.5" style="1" bestFit="1" customWidth="1"/>
    <col min="12290" max="12290" width="9.5" style="1" customWidth="1"/>
    <col min="12291" max="12291" width="36.375" style="1" customWidth="1"/>
    <col min="12292" max="12292" width="8.75" style="1" customWidth="1"/>
    <col min="12293" max="12293" width="11.375" style="1" customWidth="1"/>
    <col min="12294" max="12294" width="14.5" style="1" customWidth="1"/>
    <col min="12295" max="12295" width="6.875" style="1" customWidth="1"/>
    <col min="12296" max="12296" width="6.375" style="1" customWidth="1"/>
    <col min="12297" max="12297" width="11.875" style="1" customWidth="1"/>
    <col min="12298" max="12299" width="25" style="1" customWidth="1"/>
    <col min="12300" max="12544" width="7.5" style="1"/>
    <col min="12545" max="12545" width="4.5" style="1" bestFit="1" customWidth="1"/>
    <col min="12546" max="12546" width="9.5" style="1" customWidth="1"/>
    <col min="12547" max="12547" width="36.375" style="1" customWidth="1"/>
    <col min="12548" max="12548" width="8.75" style="1" customWidth="1"/>
    <col min="12549" max="12549" width="11.375" style="1" customWidth="1"/>
    <col min="12550" max="12550" width="14.5" style="1" customWidth="1"/>
    <col min="12551" max="12551" width="6.875" style="1" customWidth="1"/>
    <col min="12552" max="12552" width="6.375" style="1" customWidth="1"/>
    <col min="12553" max="12553" width="11.875" style="1" customWidth="1"/>
    <col min="12554" max="12555" width="25" style="1" customWidth="1"/>
    <col min="12556" max="12800" width="7.5" style="1"/>
    <col min="12801" max="12801" width="4.5" style="1" bestFit="1" customWidth="1"/>
    <col min="12802" max="12802" width="9.5" style="1" customWidth="1"/>
    <col min="12803" max="12803" width="36.375" style="1" customWidth="1"/>
    <col min="12804" max="12804" width="8.75" style="1" customWidth="1"/>
    <col min="12805" max="12805" width="11.375" style="1" customWidth="1"/>
    <col min="12806" max="12806" width="14.5" style="1" customWidth="1"/>
    <col min="12807" max="12807" width="6.875" style="1" customWidth="1"/>
    <col min="12808" max="12808" width="6.375" style="1" customWidth="1"/>
    <col min="12809" max="12809" width="11.875" style="1" customWidth="1"/>
    <col min="12810" max="12811" width="25" style="1" customWidth="1"/>
    <col min="12812" max="13056" width="7.5" style="1"/>
    <col min="13057" max="13057" width="4.5" style="1" bestFit="1" customWidth="1"/>
    <col min="13058" max="13058" width="9.5" style="1" customWidth="1"/>
    <col min="13059" max="13059" width="36.375" style="1" customWidth="1"/>
    <col min="13060" max="13060" width="8.75" style="1" customWidth="1"/>
    <col min="13061" max="13061" width="11.375" style="1" customWidth="1"/>
    <col min="13062" max="13062" width="14.5" style="1" customWidth="1"/>
    <col min="13063" max="13063" width="6.875" style="1" customWidth="1"/>
    <col min="13064" max="13064" width="6.375" style="1" customWidth="1"/>
    <col min="13065" max="13065" width="11.875" style="1" customWidth="1"/>
    <col min="13066" max="13067" width="25" style="1" customWidth="1"/>
    <col min="13068" max="13312" width="7.5" style="1"/>
    <col min="13313" max="13313" width="4.5" style="1" bestFit="1" customWidth="1"/>
    <col min="13314" max="13314" width="9.5" style="1" customWidth="1"/>
    <col min="13315" max="13315" width="36.375" style="1" customWidth="1"/>
    <col min="13316" max="13316" width="8.75" style="1" customWidth="1"/>
    <col min="13317" max="13317" width="11.375" style="1" customWidth="1"/>
    <col min="13318" max="13318" width="14.5" style="1" customWidth="1"/>
    <col min="13319" max="13319" width="6.875" style="1" customWidth="1"/>
    <col min="13320" max="13320" width="6.375" style="1" customWidth="1"/>
    <col min="13321" max="13321" width="11.875" style="1" customWidth="1"/>
    <col min="13322" max="13323" width="25" style="1" customWidth="1"/>
    <col min="13324" max="13568" width="7.5" style="1"/>
    <col min="13569" max="13569" width="4.5" style="1" bestFit="1" customWidth="1"/>
    <col min="13570" max="13570" width="9.5" style="1" customWidth="1"/>
    <col min="13571" max="13571" width="36.375" style="1" customWidth="1"/>
    <col min="13572" max="13572" width="8.75" style="1" customWidth="1"/>
    <col min="13573" max="13573" width="11.375" style="1" customWidth="1"/>
    <col min="13574" max="13574" width="14.5" style="1" customWidth="1"/>
    <col min="13575" max="13575" width="6.875" style="1" customWidth="1"/>
    <col min="13576" max="13576" width="6.375" style="1" customWidth="1"/>
    <col min="13577" max="13577" width="11.875" style="1" customWidth="1"/>
    <col min="13578" max="13579" width="25" style="1" customWidth="1"/>
    <col min="13580" max="13824" width="7.5" style="1"/>
    <col min="13825" max="13825" width="4.5" style="1" bestFit="1" customWidth="1"/>
    <col min="13826" max="13826" width="9.5" style="1" customWidth="1"/>
    <col min="13827" max="13827" width="36.375" style="1" customWidth="1"/>
    <col min="13828" max="13828" width="8.75" style="1" customWidth="1"/>
    <col min="13829" max="13829" width="11.375" style="1" customWidth="1"/>
    <col min="13830" max="13830" width="14.5" style="1" customWidth="1"/>
    <col min="13831" max="13831" width="6.875" style="1" customWidth="1"/>
    <col min="13832" max="13832" width="6.375" style="1" customWidth="1"/>
    <col min="13833" max="13833" width="11.875" style="1" customWidth="1"/>
    <col min="13834" max="13835" width="25" style="1" customWidth="1"/>
    <col min="13836" max="14080" width="7.5" style="1"/>
    <col min="14081" max="14081" width="4.5" style="1" bestFit="1" customWidth="1"/>
    <col min="14082" max="14082" width="9.5" style="1" customWidth="1"/>
    <col min="14083" max="14083" width="36.375" style="1" customWidth="1"/>
    <col min="14084" max="14084" width="8.75" style="1" customWidth="1"/>
    <col min="14085" max="14085" width="11.375" style="1" customWidth="1"/>
    <col min="14086" max="14086" width="14.5" style="1" customWidth="1"/>
    <col min="14087" max="14087" width="6.875" style="1" customWidth="1"/>
    <col min="14088" max="14088" width="6.375" style="1" customWidth="1"/>
    <col min="14089" max="14089" width="11.875" style="1" customWidth="1"/>
    <col min="14090" max="14091" width="25" style="1" customWidth="1"/>
    <col min="14092" max="14336" width="7.5" style="1"/>
    <col min="14337" max="14337" width="4.5" style="1" bestFit="1" customWidth="1"/>
    <col min="14338" max="14338" width="9.5" style="1" customWidth="1"/>
    <col min="14339" max="14339" width="36.375" style="1" customWidth="1"/>
    <col min="14340" max="14340" width="8.75" style="1" customWidth="1"/>
    <col min="14341" max="14341" width="11.375" style="1" customWidth="1"/>
    <col min="14342" max="14342" width="14.5" style="1" customWidth="1"/>
    <col min="14343" max="14343" width="6.875" style="1" customWidth="1"/>
    <col min="14344" max="14344" width="6.375" style="1" customWidth="1"/>
    <col min="14345" max="14345" width="11.875" style="1" customWidth="1"/>
    <col min="14346" max="14347" width="25" style="1" customWidth="1"/>
    <col min="14348" max="14592" width="7.5" style="1"/>
    <col min="14593" max="14593" width="4.5" style="1" bestFit="1" customWidth="1"/>
    <col min="14594" max="14594" width="9.5" style="1" customWidth="1"/>
    <col min="14595" max="14595" width="36.375" style="1" customWidth="1"/>
    <col min="14596" max="14596" width="8.75" style="1" customWidth="1"/>
    <col min="14597" max="14597" width="11.375" style="1" customWidth="1"/>
    <col min="14598" max="14598" width="14.5" style="1" customWidth="1"/>
    <col min="14599" max="14599" width="6.875" style="1" customWidth="1"/>
    <col min="14600" max="14600" width="6.375" style="1" customWidth="1"/>
    <col min="14601" max="14601" width="11.875" style="1" customWidth="1"/>
    <col min="14602" max="14603" width="25" style="1" customWidth="1"/>
    <col min="14604" max="14848" width="7.5" style="1"/>
    <col min="14849" max="14849" width="4.5" style="1" bestFit="1" customWidth="1"/>
    <col min="14850" max="14850" width="9.5" style="1" customWidth="1"/>
    <col min="14851" max="14851" width="36.375" style="1" customWidth="1"/>
    <col min="14852" max="14852" width="8.75" style="1" customWidth="1"/>
    <col min="14853" max="14853" width="11.375" style="1" customWidth="1"/>
    <col min="14854" max="14854" width="14.5" style="1" customWidth="1"/>
    <col min="14855" max="14855" width="6.875" style="1" customWidth="1"/>
    <col min="14856" max="14856" width="6.375" style="1" customWidth="1"/>
    <col min="14857" max="14857" width="11.875" style="1" customWidth="1"/>
    <col min="14858" max="14859" width="25" style="1" customWidth="1"/>
    <col min="14860" max="15104" width="7.5" style="1"/>
    <col min="15105" max="15105" width="4.5" style="1" bestFit="1" customWidth="1"/>
    <col min="15106" max="15106" width="9.5" style="1" customWidth="1"/>
    <col min="15107" max="15107" width="36.375" style="1" customWidth="1"/>
    <col min="15108" max="15108" width="8.75" style="1" customWidth="1"/>
    <col min="15109" max="15109" width="11.375" style="1" customWidth="1"/>
    <col min="15110" max="15110" width="14.5" style="1" customWidth="1"/>
    <col min="15111" max="15111" width="6.875" style="1" customWidth="1"/>
    <col min="15112" max="15112" width="6.375" style="1" customWidth="1"/>
    <col min="15113" max="15113" width="11.875" style="1" customWidth="1"/>
    <col min="15114" max="15115" width="25" style="1" customWidth="1"/>
    <col min="15116" max="15360" width="7.5" style="1"/>
    <col min="15361" max="15361" width="4.5" style="1" bestFit="1" customWidth="1"/>
    <col min="15362" max="15362" width="9.5" style="1" customWidth="1"/>
    <col min="15363" max="15363" width="36.375" style="1" customWidth="1"/>
    <col min="15364" max="15364" width="8.75" style="1" customWidth="1"/>
    <col min="15365" max="15365" width="11.375" style="1" customWidth="1"/>
    <col min="15366" max="15366" width="14.5" style="1" customWidth="1"/>
    <col min="15367" max="15367" width="6.875" style="1" customWidth="1"/>
    <col min="15368" max="15368" width="6.375" style="1" customWidth="1"/>
    <col min="15369" max="15369" width="11.875" style="1" customWidth="1"/>
    <col min="15370" max="15371" width="25" style="1" customWidth="1"/>
    <col min="15372" max="15616" width="7.5" style="1"/>
    <col min="15617" max="15617" width="4.5" style="1" bestFit="1" customWidth="1"/>
    <col min="15618" max="15618" width="9.5" style="1" customWidth="1"/>
    <col min="15619" max="15619" width="36.375" style="1" customWidth="1"/>
    <col min="15620" max="15620" width="8.75" style="1" customWidth="1"/>
    <col min="15621" max="15621" width="11.375" style="1" customWidth="1"/>
    <col min="15622" max="15622" width="14.5" style="1" customWidth="1"/>
    <col min="15623" max="15623" width="6.875" style="1" customWidth="1"/>
    <col min="15624" max="15624" width="6.375" style="1" customWidth="1"/>
    <col min="15625" max="15625" width="11.875" style="1" customWidth="1"/>
    <col min="15626" max="15627" width="25" style="1" customWidth="1"/>
    <col min="15628" max="15872" width="7.5" style="1"/>
    <col min="15873" max="15873" width="4.5" style="1" bestFit="1" customWidth="1"/>
    <col min="15874" max="15874" width="9.5" style="1" customWidth="1"/>
    <col min="15875" max="15875" width="36.375" style="1" customWidth="1"/>
    <col min="15876" max="15876" width="8.75" style="1" customWidth="1"/>
    <col min="15877" max="15877" width="11.375" style="1" customWidth="1"/>
    <col min="15878" max="15878" width="14.5" style="1" customWidth="1"/>
    <col min="15879" max="15879" width="6.875" style="1" customWidth="1"/>
    <col min="15880" max="15880" width="6.375" style="1" customWidth="1"/>
    <col min="15881" max="15881" width="11.875" style="1" customWidth="1"/>
    <col min="15882" max="15883" width="25" style="1" customWidth="1"/>
    <col min="15884" max="16128" width="7.5" style="1"/>
    <col min="16129" max="16129" width="4.5" style="1" bestFit="1" customWidth="1"/>
    <col min="16130" max="16130" width="9.5" style="1" customWidth="1"/>
    <col min="16131" max="16131" width="36.375" style="1" customWidth="1"/>
    <col min="16132" max="16132" width="8.75" style="1" customWidth="1"/>
    <col min="16133" max="16133" width="11.375" style="1" customWidth="1"/>
    <col min="16134" max="16134" width="14.5" style="1" customWidth="1"/>
    <col min="16135" max="16135" width="6.875" style="1" customWidth="1"/>
    <col min="16136" max="16136" width="6.375" style="1" customWidth="1"/>
    <col min="16137" max="16137" width="11.875" style="1" customWidth="1"/>
    <col min="16138" max="16139" width="25" style="1" customWidth="1"/>
    <col min="16140" max="16384" width="7.5" style="1"/>
  </cols>
  <sheetData>
    <row r="1" spans="1:12" ht="23.25" customHeight="1">
      <c r="A1" s="593" t="s">
        <v>417</v>
      </c>
      <c r="B1" s="593"/>
      <c r="C1" s="593"/>
      <c r="D1" s="593"/>
      <c r="E1" s="593"/>
      <c r="F1" s="593"/>
      <c r="G1" s="593"/>
      <c r="H1" s="593"/>
      <c r="I1" s="593"/>
      <c r="J1" s="593"/>
      <c r="K1" s="593"/>
      <c r="L1" s="593"/>
    </row>
    <row r="2" spans="1:12" ht="21" customHeight="1">
      <c r="A2" s="593" t="s">
        <v>418</v>
      </c>
      <c r="B2" s="593"/>
      <c r="C2" s="593"/>
      <c r="D2" s="593"/>
      <c r="E2" s="593"/>
      <c r="F2" s="593"/>
      <c r="G2" s="593"/>
      <c r="H2" s="593"/>
      <c r="I2" s="593"/>
      <c r="J2" s="593"/>
      <c r="K2" s="593"/>
      <c r="L2" s="593"/>
    </row>
    <row r="3" spans="1:12" ht="16.5" customHeight="1"/>
    <row r="4" spans="1:12" ht="42.75" customHeight="1">
      <c r="A4" s="653" t="s">
        <v>0</v>
      </c>
      <c r="B4" s="653" t="s">
        <v>44</v>
      </c>
      <c r="C4" s="653" t="s">
        <v>382</v>
      </c>
      <c r="D4" s="653" t="s">
        <v>244</v>
      </c>
      <c r="E4" s="653" t="s">
        <v>654</v>
      </c>
      <c r="F4" s="647" t="s">
        <v>381</v>
      </c>
      <c r="G4" s="648"/>
      <c r="H4" s="649" t="s">
        <v>384</v>
      </c>
      <c r="I4" s="650"/>
      <c r="J4" s="651" t="s">
        <v>356</v>
      </c>
      <c r="K4" s="652"/>
      <c r="L4" s="655" t="s">
        <v>40</v>
      </c>
    </row>
    <row r="5" spans="1:12" ht="31.5">
      <c r="A5" s="654"/>
      <c r="B5" s="654"/>
      <c r="C5" s="654"/>
      <c r="D5" s="654"/>
      <c r="E5" s="654"/>
      <c r="F5" s="456" t="s">
        <v>349</v>
      </c>
      <c r="G5" s="456" t="s">
        <v>350</v>
      </c>
      <c r="H5" s="456" t="s">
        <v>349</v>
      </c>
      <c r="I5" s="456" t="s">
        <v>350</v>
      </c>
      <c r="J5" s="456" t="s">
        <v>349</v>
      </c>
      <c r="K5" s="456" t="s">
        <v>350</v>
      </c>
      <c r="L5" s="656"/>
    </row>
    <row r="6" spans="1:12" ht="21.75" customHeight="1">
      <c r="A6" s="80" t="s">
        <v>2</v>
      </c>
      <c r="B6" s="81" t="s">
        <v>66</v>
      </c>
      <c r="C6" s="205"/>
      <c r="D6" s="78"/>
      <c r="E6" s="78"/>
      <c r="F6" s="78"/>
      <c r="G6" s="78"/>
      <c r="H6" s="82"/>
      <c r="I6" s="82"/>
      <c r="J6" s="83"/>
      <c r="K6" s="83"/>
      <c r="L6" s="644" t="s">
        <v>731</v>
      </c>
    </row>
    <row r="7" spans="1:12" s="209" customFormat="1" ht="15.75">
      <c r="A7" s="217">
        <v>1</v>
      </c>
      <c r="B7" s="206" t="s">
        <v>226</v>
      </c>
      <c r="C7" s="206" t="s">
        <v>21</v>
      </c>
      <c r="D7" s="207" t="s">
        <v>200</v>
      </c>
      <c r="E7" s="207">
        <v>1</v>
      </c>
      <c r="F7" s="208">
        <v>9.738666666666662E-4</v>
      </c>
      <c r="G7" s="208">
        <v>1.5E-3</v>
      </c>
      <c r="H7" s="84">
        <f>'IV. ĐG NC'!M8*E7</f>
        <v>494098</v>
      </c>
      <c r="I7" s="84">
        <f>'IV. ĐG NC'!N8</f>
        <v>494098</v>
      </c>
      <c r="J7" s="220">
        <f>F7*H7</f>
        <v>481.18557226666644</v>
      </c>
      <c r="K7" s="220">
        <f>E7*G7*I7</f>
        <v>741.14700000000005</v>
      </c>
      <c r="L7" s="645"/>
    </row>
    <row r="8" spans="1:12" s="209" customFormat="1" ht="15.75">
      <c r="A8" s="217">
        <v>2</v>
      </c>
      <c r="B8" s="206" t="s">
        <v>227</v>
      </c>
      <c r="C8" s="206" t="s">
        <v>68</v>
      </c>
      <c r="D8" s="207" t="s">
        <v>200</v>
      </c>
      <c r="E8" s="207">
        <v>5</v>
      </c>
      <c r="F8" s="208">
        <v>3.3591333333333334E-3</v>
      </c>
      <c r="G8" s="208">
        <v>1.4400000000000001E-3</v>
      </c>
      <c r="H8" s="84">
        <f>'IV. ĐG NC'!M9</f>
        <v>494098</v>
      </c>
      <c r="I8" s="84">
        <f>'IV. ĐG NC'!N9</f>
        <v>494098</v>
      </c>
      <c r="J8" s="220">
        <f t="shared" ref="J8:J10" si="0">F8*H8</f>
        <v>1659.7410617333335</v>
      </c>
      <c r="K8" s="220">
        <f t="shared" ref="K8:K19" si="1">E8*G8*I8</f>
        <v>3557.5056000000004</v>
      </c>
      <c r="L8" s="645"/>
    </row>
    <row r="9" spans="1:12" s="209" customFormat="1" ht="31.5">
      <c r="A9" s="217">
        <v>3</v>
      </c>
      <c r="B9" s="206" t="s">
        <v>228</v>
      </c>
      <c r="C9" s="206" t="s">
        <v>70</v>
      </c>
      <c r="D9" s="207" t="s">
        <v>200</v>
      </c>
      <c r="E9" s="207">
        <v>1</v>
      </c>
      <c r="F9" s="208">
        <v>9.738666666666662E-4</v>
      </c>
      <c r="G9" s="208">
        <v>1.5E-3</v>
      </c>
      <c r="H9" s="84">
        <f>'IV. ĐG NC'!M10</f>
        <v>460361.5</v>
      </c>
      <c r="I9" s="84">
        <f>'IV. ĐG NC'!N10</f>
        <v>460361.5</v>
      </c>
      <c r="J9" s="220">
        <f t="shared" si="0"/>
        <v>448.33071946666644</v>
      </c>
      <c r="K9" s="220">
        <f t="shared" si="1"/>
        <v>690.54224999999997</v>
      </c>
      <c r="L9" s="645"/>
    </row>
    <row r="10" spans="1:12" s="209" customFormat="1" ht="47.25">
      <c r="A10" s="217">
        <v>4</v>
      </c>
      <c r="B10" s="206" t="s">
        <v>229</v>
      </c>
      <c r="C10" s="206" t="s">
        <v>38</v>
      </c>
      <c r="D10" s="207" t="s">
        <v>200</v>
      </c>
      <c r="E10" s="207">
        <v>1</v>
      </c>
      <c r="F10" s="208">
        <v>4.8839999999999995E-4</v>
      </c>
      <c r="G10" s="208">
        <v>5.5000000000000003E-4</v>
      </c>
      <c r="H10" s="84">
        <f>'IV. ĐG NC'!M11</f>
        <v>494098</v>
      </c>
      <c r="I10" s="84">
        <f>'IV. ĐG NC'!N11</f>
        <v>494098</v>
      </c>
      <c r="J10" s="220">
        <f t="shared" si="0"/>
        <v>241.31746319999996</v>
      </c>
      <c r="K10" s="220">
        <f t="shared" si="1"/>
        <v>271.75390000000004</v>
      </c>
      <c r="L10" s="645"/>
    </row>
    <row r="11" spans="1:12" s="213" customFormat="1" ht="15.75">
      <c r="A11" s="80" t="s">
        <v>16</v>
      </c>
      <c r="B11" s="81" t="s">
        <v>73</v>
      </c>
      <c r="C11" s="86"/>
      <c r="D11" s="210"/>
      <c r="E11" s="210"/>
      <c r="F11" s="211"/>
      <c r="G11" s="211"/>
      <c r="H11" s="212"/>
      <c r="I11" s="84"/>
      <c r="J11" s="83"/>
      <c r="K11" s="220"/>
      <c r="L11" s="645"/>
    </row>
    <row r="12" spans="1:12" s="209" customFormat="1" ht="15.75">
      <c r="A12" s="217">
        <v>6</v>
      </c>
      <c r="B12" s="206" t="s">
        <v>230</v>
      </c>
      <c r="C12" s="206" t="s">
        <v>77</v>
      </c>
      <c r="D12" s="207" t="s">
        <v>200</v>
      </c>
      <c r="E12" s="207">
        <v>15</v>
      </c>
      <c r="F12" s="208">
        <v>1.8978000000000005E-2</v>
      </c>
      <c r="G12" s="208">
        <v>1.5E-3</v>
      </c>
      <c r="H12" s="84">
        <f>'IV. ĐG NC'!M13</f>
        <v>494098</v>
      </c>
      <c r="I12" s="84">
        <f>'IV. ĐG NC'!N13</f>
        <v>494098</v>
      </c>
      <c r="J12" s="220">
        <f>F12*H12</f>
        <v>9376.9918440000019</v>
      </c>
      <c r="K12" s="220">
        <f t="shared" si="1"/>
        <v>11117.205</v>
      </c>
      <c r="L12" s="645"/>
    </row>
    <row r="13" spans="1:12" s="209" customFormat="1" ht="15.75">
      <c r="A13" s="217">
        <v>7</v>
      </c>
      <c r="B13" s="206" t="s">
        <v>231</v>
      </c>
      <c r="C13" s="206" t="s">
        <v>21</v>
      </c>
      <c r="D13" s="207" t="s">
        <v>200</v>
      </c>
      <c r="E13" s="207">
        <v>1</v>
      </c>
      <c r="F13" s="208">
        <v>1.8202666666666668E-3</v>
      </c>
      <c r="G13" s="208">
        <v>2.0999999999999999E-3</v>
      </c>
      <c r="H13" s="84">
        <f>'IV. ĐG NC'!M14</f>
        <v>494098</v>
      </c>
      <c r="I13" s="84">
        <f>'IV. ĐG NC'!N14</f>
        <v>494098</v>
      </c>
      <c r="J13" s="220">
        <f t="shared" ref="J13:J19" si="2">F13*H13</f>
        <v>899.39011946666676</v>
      </c>
      <c r="K13" s="220">
        <f t="shared" si="1"/>
        <v>1037.6058</v>
      </c>
      <c r="L13" s="645"/>
    </row>
    <row r="14" spans="1:12" s="209" customFormat="1" ht="15.75">
      <c r="A14" s="217">
        <v>8</v>
      </c>
      <c r="B14" s="206" t="s">
        <v>232</v>
      </c>
      <c r="C14" s="206" t="s">
        <v>21</v>
      </c>
      <c r="D14" s="207" t="s">
        <v>200</v>
      </c>
      <c r="E14" s="207">
        <v>1</v>
      </c>
      <c r="F14" s="208">
        <v>1.2217333333333334E-3</v>
      </c>
      <c r="G14" s="208">
        <v>1.2999999999999999E-3</v>
      </c>
      <c r="H14" s="84">
        <f>'IV. ĐG NC'!M15</f>
        <v>494098</v>
      </c>
      <c r="I14" s="84">
        <f>'IV. ĐG NC'!N15</f>
        <v>494098</v>
      </c>
      <c r="J14" s="220">
        <f t="shared" si="2"/>
        <v>603.65599653333334</v>
      </c>
      <c r="K14" s="220">
        <f t="shared" si="1"/>
        <v>642.32740000000001</v>
      </c>
      <c r="L14" s="645"/>
    </row>
    <row r="15" spans="1:12" s="209" customFormat="1" ht="31.5">
      <c r="A15" s="217">
        <v>9</v>
      </c>
      <c r="B15" s="206" t="s">
        <v>233</v>
      </c>
      <c r="C15" s="206" t="s">
        <v>82</v>
      </c>
      <c r="D15" s="207" t="s">
        <v>200</v>
      </c>
      <c r="E15" s="207">
        <v>1</v>
      </c>
      <c r="F15" s="208">
        <v>2.355066666666667E-3</v>
      </c>
      <c r="G15" s="208">
        <v>2.3999999999999998E-3</v>
      </c>
      <c r="H15" s="84">
        <f>'IV. ĐG NC'!M16</f>
        <v>497311</v>
      </c>
      <c r="I15" s="84">
        <f>'IV. ĐG NC'!N16</f>
        <v>497311</v>
      </c>
      <c r="J15" s="220">
        <f t="shared" si="2"/>
        <v>1171.2005590666668</v>
      </c>
      <c r="K15" s="220">
        <f t="shared" si="1"/>
        <v>1193.5463999999999</v>
      </c>
      <c r="L15" s="645"/>
    </row>
    <row r="16" spans="1:12" s="209" customFormat="1" ht="15.75">
      <c r="A16" s="217">
        <v>10</v>
      </c>
      <c r="B16" s="206" t="s">
        <v>234</v>
      </c>
      <c r="C16" s="206" t="s">
        <v>84</v>
      </c>
      <c r="D16" s="207" t="s">
        <v>200</v>
      </c>
      <c r="E16" s="207">
        <v>1</v>
      </c>
      <c r="F16" s="208">
        <v>7.7533333333333339E-4</v>
      </c>
      <c r="G16" s="208">
        <v>1E-3</v>
      </c>
      <c r="H16" s="84">
        <f>'IV. ĐG NC'!M17</f>
        <v>577636</v>
      </c>
      <c r="I16" s="84">
        <f>'IV. ĐG NC'!N17</f>
        <v>577636</v>
      </c>
      <c r="J16" s="220">
        <f t="shared" si="2"/>
        <v>447.86044533333336</v>
      </c>
      <c r="K16" s="220">
        <f t="shared" si="1"/>
        <v>577.63599999999997</v>
      </c>
      <c r="L16" s="645"/>
    </row>
    <row r="17" spans="1:12" s="209" customFormat="1" ht="63">
      <c r="A17" s="217">
        <v>11</v>
      </c>
      <c r="B17" s="206" t="s">
        <v>235</v>
      </c>
      <c r="C17" s="206" t="s">
        <v>21</v>
      </c>
      <c r="D17" s="207" t="s">
        <v>200</v>
      </c>
      <c r="E17" s="207">
        <v>1</v>
      </c>
      <c r="F17" s="208">
        <v>2.8226666666666955E-4</v>
      </c>
      <c r="G17" s="208">
        <v>4.5999999999999999E-3</v>
      </c>
      <c r="H17" s="84">
        <f>'IV. ĐG NC'!M18</f>
        <v>494098</v>
      </c>
      <c r="I17" s="84">
        <f>'IV. ĐG NC'!N18</f>
        <v>494098</v>
      </c>
      <c r="J17" s="220">
        <f t="shared" si="2"/>
        <v>139.46739546666808</v>
      </c>
      <c r="K17" s="220">
        <f t="shared" si="1"/>
        <v>2272.8508000000002</v>
      </c>
      <c r="L17" s="645"/>
    </row>
    <row r="18" spans="1:12" s="209" customFormat="1" ht="28.5" customHeight="1">
      <c r="A18" s="217">
        <v>12</v>
      </c>
      <c r="B18" s="206" t="s">
        <v>236</v>
      </c>
      <c r="C18" s="206" t="s">
        <v>82</v>
      </c>
      <c r="D18" s="207" t="s">
        <v>200</v>
      </c>
      <c r="E18" s="207">
        <v>1</v>
      </c>
      <c r="F18" s="208">
        <v>3.1072000000000006E-4</v>
      </c>
      <c r="G18" s="208">
        <v>3.6000000000000002E-4</v>
      </c>
      <c r="H18" s="84">
        <f>'IV. ĐG NC'!M19</f>
        <v>437870.5</v>
      </c>
      <c r="I18" s="84">
        <f>'IV. ĐG NC'!N19</f>
        <v>437870.5</v>
      </c>
      <c r="J18" s="220">
        <f t="shared" si="2"/>
        <v>136.05512176000002</v>
      </c>
      <c r="K18" s="220">
        <f t="shared" si="1"/>
        <v>157.63338000000002</v>
      </c>
      <c r="L18" s="645"/>
    </row>
    <row r="19" spans="1:12" s="209" customFormat="1" ht="15.75">
      <c r="A19" s="217">
        <v>13</v>
      </c>
      <c r="B19" s="206" t="s">
        <v>237</v>
      </c>
      <c r="C19" s="206" t="s">
        <v>84</v>
      </c>
      <c r="D19" s="207" t="s">
        <v>200</v>
      </c>
      <c r="E19" s="207">
        <v>1</v>
      </c>
      <c r="F19" s="208">
        <v>3.7680000000000005E-4</v>
      </c>
      <c r="G19" s="208">
        <v>5.0000000000000001E-4</v>
      </c>
      <c r="H19" s="84">
        <f>'IV. ĐG NC'!M20</f>
        <v>547112.5</v>
      </c>
      <c r="I19" s="84">
        <f>'IV. ĐG NC'!N20</f>
        <v>514982.5</v>
      </c>
      <c r="J19" s="220">
        <f t="shared" si="2"/>
        <v>206.15199000000004</v>
      </c>
      <c r="K19" s="220">
        <f t="shared" si="1"/>
        <v>257.49124999999998</v>
      </c>
      <c r="L19" s="646"/>
    </row>
    <row r="20" spans="1:12" s="209" customFormat="1" ht="15.75">
      <c r="A20" s="219"/>
      <c r="B20" s="218" t="s">
        <v>357</v>
      </c>
      <c r="C20" s="214"/>
      <c r="D20" s="215"/>
      <c r="E20" s="215"/>
      <c r="F20" s="216"/>
      <c r="G20" s="216"/>
      <c r="H20" s="88"/>
      <c r="I20" s="88"/>
      <c r="J20" s="221">
        <f>SUM(J7:J19)</f>
        <v>15811.348288293337</v>
      </c>
      <c r="K20" s="221">
        <f>SUM(K7:K19)</f>
        <v>22517.244779999994</v>
      </c>
      <c r="L20" s="75"/>
    </row>
  </sheetData>
  <mergeCells count="12">
    <mergeCell ref="L6:L19"/>
    <mergeCell ref="A1:L1"/>
    <mergeCell ref="A2:L2"/>
    <mergeCell ref="F4:G4"/>
    <mergeCell ref="H4:I4"/>
    <mergeCell ref="J4:K4"/>
    <mergeCell ref="E4:E5"/>
    <mergeCell ref="D4:D5"/>
    <mergeCell ref="B4:B5"/>
    <mergeCell ref="A4:A5"/>
    <mergeCell ref="L4:L5"/>
    <mergeCell ref="C4:C5"/>
  </mergeCells>
  <phoneticPr fontId="21" type="noConversion"/>
  <pageMargins left="0.7" right="0.7" top="0.32" bottom="0.35" header="0.18" footer="0.62"/>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tabSelected="1" zoomScale="90" zoomScaleNormal="90" workbookViewId="0">
      <selection activeCell="J9" sqref="J9"/>
    </sheetView>
  </sheetViews>
  <sheetFormatPr defaultColWidth="7.5" defaultRowHeight="16.5"/>
  <cols>
    <col min="1" max="1" width="7.5" style="2"/>
    <col min="2" max="2" width="24.625" style="2" customWidth="1"/>
    <col min="3" max="4" width="13.5" style="2" customWidth="1"/>
    <col min="5" max="5" width="15" style="2" customWidth="1"/>
    <col min="6" max="6" width="11.375" style="2" customWidth="1"/>
    <col min="7" max="7" width="13.125" style="2" customWidth="1"/>
    <col min="8" max="8" width="15" style="2" customWidth="1"/>
    <col min="9" max="9" width="11" style="2" customWidth="1"/>
    <col min="10" max="10" width="15.625" style="2" customWidth="1"/>
    <col min="11" max="11" width="15.625" style="458" customWidth="1"/>
    <col min="12" max="12" width="14.375" style="2" customWidth="1"/>
    <col min="13" max="13" width="21.5" style="3" bestFit="1" customWidth="1"/>
    <col min="14" max="14" width="21.5" style="2" customWidth="1"/>
    <col min="15" max="15" width="23.375" style="2" customWidth="1"/>
    <col min="16" max="247" width="7.5" style="2"/>
    <col min="248" max="248" width="9.5" style="2" customWidth="1"/>
    <col min="249" max="249" width="25" style="2" customWidth="1"/>
    <col min="250" max="250" width="8.75" style="2" customWidth="1"/>
    <col min="251" max="251" width="6.875" style="2" customWidth="1"/>
    <col min="252" max="252" width="0" style="2" hidden="1" customWidth="1"/>
    <col min="253" max="254" width="11.375" style="2" customWidth="1"/>
    <col min="255" max="259" width="0" style="2" hidden="1" customWidth="1"/>
    <col min="260" max="260" width="11.375" style="2" customWidth="1"/>
    <col min="261" max="264" width="0" style="2" hidden="1" customWidth="1"/>
    <col min="265" max="266" width="11.375" style="2" customWidth="1"/>
    <col min="267" max="267" width="0" style="2" hidden="1" customWidth="1"/>
    <col min="268" max="503" width="7.5" style="2"/>
    <col min="504" max="504" width="9.5" style="2" customWidth="1"/>
    <col min="505" max="505" width="25" style="2" customWidth="1"/>
    <col min="506" max="506" width="8.75" style="2" customWidth="1"/>
    <col min="507" max="507" width="6.875" style="2" customWidth="1"/>
    <col min="508" max="508" width="0" style="2" hidden="1" customWidth="1"/>
    <col min="509" max="510" width="11.375" style="2" customWidth="1"/>
    <col min="511" max="515" width="0" style="2" hidden="1" customWidth="1"/>
    <col min="516" max="516" width="11.375" style="2" customWidth="1"/>
    <col min="517" max="520" width="0" style="2" hidden="1" customWidth="1"/>
    <col min="521" max="522" width="11.375" style="2" customWidth="1"/>
    <col min="523" max="523" width="0" style="2" hidden="1" customWidth="1"/>
    <col min="524" max="759" width="7.5" style="2"/>
    <col min="760" max="760" width="9.5" style="2" customWidth="1"/>
    <col min="761" max="761" width="25" style="2" customWidth="1"/>
    <col min="762" max="762" width="8.75" style="2" customWidth="1"/>
    <col min="763" max="763" width="6.875" style="2" customWidth="1"/>
    <col min="764" max="764" width="0" style="2" hidden="1" customWidth="1"/>
    <col min="765" max="766" width="11.375" style="2" customWidth="1"/>
    <col min="767" max="771" width="0" style="2" hidden="1" customWidth="1"/>
    <col min="772" max="772" width="11.375" style="2" customWidth="1"/>
    <col min="773" max="776" width="0" style="2" hidden="1" customWidth="1"/>
    <col min="777" max="778" width="11.375" style="2" customWidth="1"/>
    <col min="779" max="779" width="0" style="2" hidden="1" customWidth="1"/>
    <col min="780" max="1015" width="7.5" style="2"/>
    <col min="1016" max="1016" width="9.5" style="2" customWidth="1"/>
    <col min="1017" max="1017" width="25" style="2" customWidth="1"/>
    <col min="1018" max="1018" width="8.75" style="2" customWidth="1"/>
    <col min="1019" max="1019" width="6.875" style="2" customWidth="1"/>
    <col min="1020" max="1020" width="0" style="2" hidden="1" customWidth="1"/>
    <col min="1021" max="1022" width="11.375" style="2" customWidth="1"/>
    <col min="1023" max="1027" width="0" style="2" hidden="1" customWidth="1"/>
    <col min="1028" max="1028" width="11.375" style="2" customWidth="1"/>
    <col min="1029" max="1032" width="0" style="2" hidden="1" customWidth="1"/>
    <col min="1033" max="1034" width="11.375" style="2" customWidth="1"/>
    <col min="1035" max="1035" width="0" style="2" hidden="1" customWidth="1"/>
    <col min="1036" max="1271" width="7.5" style="2"/>
    <col min="1272" max="1272" width="9.5" style="2" customWidth="1"/>
    <col min="1273" max="1273" width="25" style="2" customWidth="1"/>
    <col min="1274" max="1274" width="8.75" style="2" customWidth="1"/>
    <col min="1275" max="1275" width="6.875" style="2" customWidth="1"/>
    <col min="1276" max="1276" width="0" style="2" hidden="1" customWidth="1"/>
    <col min="1277" max="1278" width="11.375" style="2" customWidth="1"/>
    <col min="1279" max="1283" width="0" style="2" hidden="1" customWidth="1"/>
    <col min="1284" max="1284" width="11.375" style="2" customWidth="1"/>
    <col min="1285" max="1288" width="0" style="2" hidden="1" customWidth="1"/>
    <col min="1289" max="1290" width="11.375" style="2" customWidth="1"/>
    <col min="1291" max="1291" width="0" style="2" hidden="1" customWidth="1"/>
    <col min="1292" max="1527" width="7.5" style="2"/>
    <col min="1528" max="1528" width="9.5" style="2" customWidth="1"/>
    <col min="1529" max="1529" width="25" style="2" customWidth="1"/>
    <col min="1530" max="1530" width="8.75" style="2" customWidth="1"/>
    <col min="1531" max="1531" width="6.875" style="2" customWidth="1"/>
    <col min="1532" max="1532" width="0" style="2" hidden="1" customWidth="1"/>
    <col min="1533" max="1534" width="11.375" style="2" customWidth="1"/>
    <col min="1535" max="1539" width="0" style="2" hidden="1" customWidth="1"/>
    <col min="1540" max="1540" width="11.375" style="2" customWidth="1"/>
    <col min="1541" max="1544" width="0" style="2" hidden="1" customWidth="1"/>
    <col min="1545" max="1546" width="11.375" style="2" customWidth="1"/>
    <col min="1547" max="1547" width="0" style="2" hidden="1" customWidth="1"/>
    <col min="1548" max="1783" width="7.5" style="2"/>
    <col min="1784" max="1784" width="9.5" style="2" customWidth="1"/>
    <col min="1785" max="1785" width="25" style="2" customWidth="1"/>
    <col min="1786" max="1786" width="8.75" style="2" customWidth="1"/>
    <col min="1787" max="1787" width="6.875" style="2" customWidth="1"/>
    <col min="1788" max="1788" width="0" style="2" hidden="1" customWidth="1"/>
    <col min="1789" max="1790" width="11.375" style="2" customWidth="1"/>
    <col min="1791" max="1795" width="0" style="2" hidden="1" customWidth="1"/>
    <col min="1796" max="1796" width="11.375" style="2" customWidth="1"/>
    <col min="1797" max="1800" width="0" style="2" hidden="1" customWidth="1"/>
    <col min="1801" max="1802" width="11.375" style="2" customWidth="1"/>
    <col min="1803" max="1803" width="0" style="2" hidden="1" customWidth="1"/>
    <col min="1804" max="2039" width="7.5" style="2"/>
    <col min="2040" max="2040" width="9.5" style="2" customWidth="1"/>
    <col min="2041" max="2041" width="25" style="2" customWidth="1"/>
    <col min="2042" max="2042" width="8.75" style="2" customWidth="1"/>
    <col min="2043" max="2043" width="6.875" style="2" customWidth="1"/>
    <col min="2044" max="2044" width="0" style="2" hidden="1" customWidth="1"/>
    <col min="2045" max="2046" width="11.375" style="2" customWidth="1"/>
    <col min="2047" max="2051" width="0" style="2" hidden="1" customWidth="1"/>
    <col min="2052" max="2052" width="11.375" style="2" customWidth="1"/>
    <col min="2053" max="2056" width="0" style="2" hidden="1" customWidth="1"/>
    <col min="2057" max="2058" width="11.375" style="2" customWidth="1"/>
    <col min="2059" max="2059" width="0" style="2" hidden="1" customWidth="1"/>
    <col min="2060" max="2295" width="7.5" style="2"/>
    <col min="2296" max="2296" width="9.5" style="2" customWidth="1"/>
    <col min="2297" max="2297" width="25" style="2" customWidth="1"/>
    <col min="2298" max="2298" width="8.75" style="2" customWidth="1"/>
    <col min="2299" max="2299" width="6.875" style="2" customWidth="1"/>
    <col min="2300" max="2300" width="0" style="2" hidden="1" customWidth="1"/>
    <col min="2301" max="2302" width="11.375" style="2" customWidth="1"/>
    <col min="2303" max="2307" width="0" style="2" hidden="1" customWidth="1"/>
    <col min="2308" max="2308" width="11.375" style="2" customWidth="1"/>
    <col min="2309" max="2312" width="0" style="2" hidden="1" customWidth="1"/>
    <col min="2313" max="2314" width="11.375" style="2" customWidth="1"/>
    <col min="2315" max="2315" width="0" style="2" hidden="1" customWidth="1"/>
    <col min="2316" max="2551" width="7.5" style="2"/>
    <col min="2552" max="2552" width="9.5" style="2" customWidth="1"/>
    <col min="2553" max="2553" width="25" style="2" customWidth="1"/>
    <col min="2554" max="2554" width="8.75" style="2" customWidth="1"/>
    <col min="2555" max="2555" width="6.875" style="2" customWidth="1"/>
    <col min="2556" max="2556" width="0" style="2" hidden="1" customWidth="1"/>
    <col min="2557" max="2558" width="11.375" style="2" customWidth="1"/>
    <col min="2559" max="2563" width="0" style="2" hidden="1" customWidth="1"/>
    <col min="2564" max="2564" width="11.375" style="2" customWidth="1"/>
    <col min="2565" max="2568" width="0" style="2" hidden="1" customWidth="1"/>
    <col min="2569" max="2570" width="11.375" style="2" customWidth="1"/>
    <col min="2571" max="2571" width="0" style="2" hidden="1" customWidth="1"/>
    <col min="2572" max="2807" width="7.5" style="2"/>
    <col min="2808" max="2808" width="9.5" style="2" customWidth="1"/>
    <col min="2809" max="2809" width="25" style="2" customWidth="1"/>
    <col min="2810" max="2810" width="8.75" style="2" customWidth="1"/>
    <col min="2811" max="2811" width="6.875" style="2" customWidth="1"/>
    <col min="2812" max="2812" width="0" style="2" hidden="1" customWidth="1"/>
    <col min="2813" max="2814" width="11.375" style="2" customWidth="1"/>
    <col min="2815" max="2819" width="0" style="2" hidden="1" customWidth="1"/>
    <col min="2820" max="2820" width="11.375" style="2" customWidth="1"/>
    <col min="2821" max="2824" width="0" style="2" hidden="1" customWidth="1"/>
    <col min="2825" max="2826" width="11.375" style="2" customWidth="1"/>
    <col min="2827" max="2827" width="0" style="2" hidden="1" customWidth="1"/>
    <col min="2828" max="3063" width="7.5" style="2"/>
    <col min="3064" max="3064" width="9.5" style="2" customWidth="1"/>
    <col min="3065" max="3065" width="25" style="2" customWidth="1"/>
    <col min="3066" max="3066" width="8.75" style="2" customWidth="1"/>
    <col min="3067" max="3067" width="6.875" style="2" customWidth="1"/>
    <col min="3068" max="3068" width="0" style="2" hidden="1" customWidth="1"/>
    <col min="3069" max="3070" width="11.375" style="2" customWidth="1"/>
    <col min="3071" max="3075" width="0" style="2" hidden="1" customWidth="1"/>
    <col min="3076" max="3076" width="11.375" style="2" customWidth="1"/>
    <col min="3077" max="3080" width="0" style="2" hidden="1" customWidth="1"/>
    <col min="3081" max="3082" width="11.375" style="2" customWidth="1"/>
    <col min="3083" max="3083" width="0" style="2" hidden="1" customWidth="1"/>
    <col min="3084" max="3319" width="7.5" style="2"/>
    <col min="3320" max="3320" width="9.5" style="2" customWidth="1"/>
    <col min="3321" max="3321" width="25" style="2" customWidth="1"/>
    <col min="3322" max="3322" width="8.75" style="2" customWidth="1"/>
    <col min="3323" max="3323" width="6.875" style="2" customWidth="1"/>
    <col min="3324" max="3324" width="0" style="2" hidden="1" customWidth="1"/>
    <col min="3325" max="3326" width="11.375" style="2" customWidth="1"/>
    <col min="3327" max="3331" width="0" style="2" hidden="1" customWidth="1"/>
    <col min="3332" max="3332" width="11.375" style="2" customWidth="1"/>
    <col min="3333" max="3336" width="0" style="2" hidden="1" customWidth="1"/>
    <col min="3337" max="3338" width="11.375" style="2" customWidth="1"/>
    <col min="3339" max="3339" width="0" style="2" hidden="1" customWidth="1"/>
    <col min="3340" max="3575" width="7.5" style="2"/>
    <col min="3576" max="3576" width="9.5" style="2" customWidth="1"/>
    <col min="3577" max="3577" width="25" style="2" customWidth="1"/>
    <col min="3578" max="3578" width="8.75" style="2" customWidth="1"/>
    <col min="3579" max="3579" width="6.875" style="2" customWidth="1"/>
    <col min="3580" max="3580" width="0" style="2" hidden="1" customWidth="1"/>
    <col min="3581" max="3582" width="11.375" style="2" customWidth="1"/>
    <col min="3583" max="3587" width="0" style="2" hidden="1" customWidth="1"/>
    <col min="3588" max="3588" width="11.375" style="2" customWidth="1"/>
    <col min="3589" max="3592" width="0" style="2" hidden="1" customWidth="1"/>
    <col min="3593" max="3594" width="11.375" style="2" customWidth="1"/>
    <col min="3595" max="3595" width="0" style="2" hidden="1" customWidth="1"/>
    <col min="3596" max="3831" width="7.5" style="2"/>
    <col min="3832" max="3832" width="9.5" style="2" customWidth="1"/>
    <col min="3833" max="3833" width="25" style="2" customWidth="1"/>
    <col min="3834" max="3834" width="8.75" style="2" customWidth="1"/>
    <col min="3835" max="3835" width="6.875" style="2" customWidth="1"/>
    <col min="3836" max="3836" width="0" style="2" hidden="1" customWidth="1"/>
    <col min="3837" max="3838" width="11.375" style="2" customWidth="1"/>
    <col min="3839" max="3843" width="0" style="2" hidden="1" customWidth="1"/>
    <col min="3844" max="3844" width="11.375" style="2" customWidth="1"/>
    <col min="3845" max="3848" width="0" style="2" hidden="1" customWidth="1"/>
    <col min="3849" max="3850" width="11.375" style="2" customWidth="1"/>
    <col min="3851" max="3851" width="0" style="2" hidden="1" customWidth="1"/>
    <col min="3852" max="4087" width="7.5" style="2"/>
    <col min="4088" max="4088" width="9.5" style="2" customWidth="1"/>
    <col min="4089" max="4089" width="25" style="2" customWidth="1"/>
    <col min="4090" max="4090" width="8.75" style="2" customWidth="1"/>
    <col min="4091" max="4091" width="6.875" style="2" customWidth="1"/>
    <col min="4092" max="4092" width="0" style="2" hidden="1" customWidth="1"/>
    <col min="4093" max="4094" width="11.375" style="2" customWidth="1"/>
    <col min="4095" max="4099" width="0" style="2" hidden="1" customWidth="1"/>
    <col min="4100" max="4100" width="11.375" style="2" customWidth="1"/>
    <col min="4101" max="4104" width="0" style="2" hidden="1" customWidth="1"/>
    <col min="4105" max="4106" width="11.375" style="2" customWidth="1"/>
    <col min="4107" max="4107" width="0" style="2" hidden="1" customWidth="1"/>
    <col min="4108" max="4343" width="7.5" style="2"/>
    <col min="4344" max="4344" width="9.5" style="2" customWidth="1"/>
    <col min="4345" max="4345" width="25" style="2" customWidth="1"/>
    <col min="4346" max="4346" width="8.75" style="2" customWidth="1"/>
    <col min="4347" max="4347" width="6.875" style="2" customWidth="1"/>
    <col min="4348" max="4348" width="0" style="2" hidden="1" customWidth="1"/>
    <col min="4349" max="4350" width="11.375" style="2" customWidth="1"/>
    <col min="4351" max="4355" width="0" style="2" hidden="1" customWidth="1"/>
    <col min="4356" max="4356" width="11.375" style="2" customWidth="1"/>
    <col min="4357" max="4360" width="0" style="2" hidden="1" customWidth="1"/>
    <col min="4361" max="4362" width="11.375" style="2" customWidth="1"/>
    <col min="4363" max="4363" width="0" style="2" hidden="1" customWidth="1"/>
    <col min="4364" max="4599" width="7.5" style="2"/>
    <col min="4600" max="4600" width="9.5" style="2" customWidth="1"/>
    <col min="4601" max="4601" width="25" style="2" customWidth="1"/>
    <col min="4602" max="4602" width="8.75" style="2" customWidth="1"/>
    <col min="4603" max="4603" width="6.875" style="2" customWidth="1"/>
    <col min="4604" max="4604" width="0" style="2" hidden="1" customWidth="1"/>
    <col min="4605" max="4606" width="11.375" style="2" customWidth="1"/>
    <col min="4607" max="4611" width="0" style="2" hidden="1" customWidth="1"/>
    <col min="4612" max="4612" width="11.375" style="2" customWidth="1"/>
    <col min="4613" max="4616" width="0" style="2" hidden="1" customWidth="1"/>
    <col min="4617" max="4618" width="11.375" style="2" customWidth="1"/>
    <col min="4619" max="4619" width="0" style="2" hidden="1" customWidth="1"/>
    <col min="4620" max="4855" width="7.5" style="2"/>
    <col min="4856" max="4856" width="9.5" style="2" customWidth="1"/>
    <col min="4857" max="4857" width="25" style="2" customWidth="1"/>
    <col min="4858" max="4858" width="8.75" style="2" customWidth="1"/>
    <col min="4859" max="4859" width="6.875" style="2" customWidth="1"/>
    <col min="4860" max="4860" width="0" style="2" hidden="1" customWidth="1"/>
    <col min="4861" max="4862" width="11.375" style="2" customWidth="1"/>
    <col min="4863" max="4867" width="0" style="2" hidden="1" customWidth="1"/>
    <col min="4868" max="4868" width="11.375" style="2" customWidth="1"/>
    <col min="4869" max="4872" width="0" style="2" hidden="1" customWidth="1"/>
    <col min="4873" max="4874" width="11.375" style="2" customWidth="1"/>
    <col min="4875" max="4875" width="0" style="2" hidden="1" customWidth="1"/>
    <col min="4876" max="5111" width="7.5" style="2"/>
    <col min="5112" max="5112" width="9.5" style="2" customWidth="1"/>
    <col min="5113" max="5113" width="25" style="2" customWidth="1"/>
    <col min="5114" max="5114" width="8.75" style="2" customWidth="1"/>
    <col min="5115" max="5115" width="6.875" style="2" customWidth="1"/>
    <col min="5116" max="5116" width="0" style="2" hidden="1" customWidth="1"/>
    <col min="5117" max="5118" width="11.375" style="2" customWidth="1"/>
    <col min="5119" max="5123" width="0" style="2" hidden="1" customWidth="1"/>
    <col min="5124" max="5124" width="11.375" style="2" customWidth="1"/>
    <col min="5125" max="5128" width="0" style="2" hidden="1" customWidth="1"/>
    <col min="5129" max="5130" width="11.375" style="2" customWidth="1"/>
    <col min="5131" max="5131" width="0" style="2" hidden="1" customWidth="1"/>
    <col min="5132" max="5367" width="7.5" style="2"/>
    <col min="5368" max="5368" width="9.5" style="2" customWidth="1"/>
    <col min="5369" max="5369" width="25" style="2" customWidth="1"/>
    <col min="5370" max="5370" width="8.75" style="2" customWidth="1"/>
    <col min="5371" max="5371" width="6.875" style="2" customWidth="1"/>
    <col min="5372" max="5372" width="0" style="2" hidden="1" customWidth="1"/>
    <col min="5373" max="5374" width="11.375" style="2" customWidth="1"/>
    <col min="5375" max="5379" width="0" style="2" hidden="1" customWidth="1"/>
    <col min="5380" max="5380" width="11.375" style="2" customWidth="1"/>
    <col min="5381" max="5384" width="0" style="2" hidden="1" customWidth="1"/>
    <col min="5385" max="5386" width="11.375" style="2" customWidth="1"/>
    <col min="5387" max="5387" width="0" style="2" hidden="1" customWidth="1"/>
    <col min="5388" max="5623" width="7.5" style="2"/>
    <col min="5624" max="5624" width="9.5" style="2" customWidth="1"/>
    <col min="5625" max="5625" width="25" style="2" customWidth="1"/>
    <col min="5626" max="5626" width="8.75" style="2" customWidth="1"/>
    <col min="5627" max="5627" width="6.875" style="2" customWidth="1"/>
    <col min="5628" max="5628" width="0" style="2" hidden="1" customWidth="1"/>
    <col min="5629" max="5630" width="11.375" style="2" customWidth="1"/>
    <col min="5631" max="5635" width="0" style="2" hidden="1" customWidth="1"/>
    <col min="5636" max="5636" width="11.375" style="2" customWidth="1"/>
    <col min="5637" max="5640" width="0" style="2" hidden="1" customWidth="1"/>
    <col min="5641" max="5642" width="11.375" style="2" customWidth="1"/>
    <col min="5643" max="5643" width="0" style="2" hidden="1" customWidth="1"/>
    <col min="5644" max="5879" width="7.5" style="2"/>
    <col min="5880" max="5880" width="9.5" style="2" customWidth="1"/>
    <col min="5881" max="5881" width="25" style="2" customWidth="1"/>
    <col min="5882" max="5882" width="8.75" style="2" customWidth="1"/>
    <col min="5883" max="5883" width="6.875" style="2" customWidth="1"/>
    <col min="5884" max="5884" width="0" style="2" hidden="1" customWidth="1"/>
    <col min="5885" max="5886" width="11.375" style="2" customWidth="1"/>
    <col min="5887" max="5891" width="0" style="2" hidden="1" customWidth="1"/>
    <col min="5892" max="5892" width="11.375" style="2" customWidth="1"/>
    <col min="5893" max="5896" width="0" style="2" hidden="1" customWidth="1"/>
    <col min="5897" max="5898" width="11.375" style="2" customWidth="1"/>
    <col min="5899" max="5899" width="0" style="2" hidden="1" customWidth="1"/>
    <col min="5900" max="6135" width="7.5" style="2"/>
    <col min="6136" max="6136" width="9.5" style="2" customWidth="1"/>
    <col min="6137" max="6137" width="25" style="2" customWidth="1"/>
    <col min="6138" max="6138" width="8.75" style="2" customWidth="1"/>
    <col min="6139" max="6139" width="6.875" style="2" customWidth="1"/>
    <col min="6140" max="6140" width="0" style="2" hidden="1" customWidth="1"/>
    <col min="6141" max="6142" width="11.375" style="2" customWidth="1"/>
    <col min="6143" max="6147" width="0" style="2" hidden="1" customWidth="1"/>
    <col min="6148" max="6148" width="11.375" style="2" customWidth="1"/>
    <col min="6149" max="6152" width="0" style="2" hidden="1" customWidth="1"/>
    <col min="6153" max="6154" width="11.375" style="2" customWidth="1"/>
    <col min="6155" max="6155" width="0" style="2" hidden="1" customWidth="1"/>
    <col min="6156" max="6391" width="7.5" style="2"/>
    <col min="6392" max="6392" width="9.5" style="2" customWidth="1"/>
    <col min="6393" max="6393" width="25" style="2" customWidth="1"/>
    <col min="6394" max="6394" width="8.75" style="2" customWidth="1"/>
    <col min="6395" max="6395" width="6.875" style="2" customWidth="1"/>
    <col min="6396" max="6396" width="0" style="2" hidden="1" customWidth="1"/>
    <col min="6397" max="6398" width="11.375" style="2" customWidth="1"/>
    <col min="6399" max="6403" width="0" style="2" hidden="1" customWidth="1"/>
    <col min="6404" max="6404" width="11.375" style="2" customWidth="1"/>
    <col min="6405" max="6408" width="0" style="2" hidden="1" customWidth="1"/>
    <col min="6409" max="6410" width="11.375" style="2" customWidth="1"/>
    <col min="6411" max="6411" width="0" style="2" hidden="1" customWidth="1"/>
    <col min="6412" max="6647" width="7.5" style="2"/>
    <col min="6648" max="6648" width="9.5" style="2" customWidth="1"/>
    <col min="6649" max="6649" width="25" style="2" customWidth="1"/>
    <col min="6650" max="6650" width="8.75" style="2" customWidth="1"/>
    <col min="6651" max="6651" width="6.875" style="2" customWidth="1"/>
    <col min="6652" max="6652" width="0" style="2" hidden="1" customWidth="1"/>
    <col min="6653" max="6654" width="11.375" style="2" customWidth="1"/>
    <col min="6655" max="6659" width="0" style="2" hidden="1" customWidth="1"/>
    <col min="6660" max="6660" width="11.375" style="2" customWidth="1"/>
    <col min="6661" max="6664" width="0" style="2" hidden="1" customWidth="1"/>
    <col min="6665" max="6666" width="11.375" style="2" customWidth="1"/>
    <col min="6667" max="6667" width="0" style="2" hidden="1" customWidth="1"/>
    <col min="6668" max="6903" width="7.5" style="2"/>
    <col min="6904" max="6904" width="9.5" style="2" customWidth="1"/>
    <col min="6905" max="6905" width="25" style="2" customWidth="1"/>
    <col min="6906" max="6906" width="8.75" style="2" customWidth="1"/>
    <col min="6907" max="6907" width="6.875" style="2" customWidth="1"/>
    <col min="6908" max="6908" width="0" style="2" hidden="1" customWidth="1"/>
    <col min="6909" max="6910" width="11.375" style="2" customWidth="1"/>
    <col min="6911" max="6915" width="0" style="2" hidden="1" customWidth="1"/>
    <col min="6916" max="6916" width="11.375" style="2" customWidth="1"/>
    <col min="6917" max="6920" width="0" style="2" hidden="1" customWidth="1"/>
    <col min="6921" max="6922" width="11.375" style="2" customWidth="1"/>
    <col min="6923" max="6923" width="0" style="2" hidden="1" customWidth="1"/>
    <col min="6924" max="7159" width="7.5" style="2"/>
    <col min="7160" max="7160" width="9.5" style="2" customWidth="1"/>
    <col min="7161" max="7161" width="25" style="2" customWidth="1"/>
    <col min="7162" max="7162" width="8.75" style="2" customWidth="1"/>
    <col min="7163" max="7163" width="6.875" style="2" customWidth="1"/>
    <col min="7164" max="7164" width="0" style="2" hidden="1" customWidth="1"/>
    <col min="7165" max="7166" width="11.375" style="2" customWidth="1"/>
    <col min="7167" max="7171" width="0" style="2" hidden="1" customWidth="1"/>
    <col min="7172" max="7172" width="11.375" style="2" customWidth="1"/>
    <col min="7173" max="7176" width="0" style="2" hidden="1" customWidth="1"/>
    <col min="7177" max="7178" width="11.375" style="2" customWidth="1"/>
    <col min="7179" max="7179" width="0" style="2" hidden="1" customWidth="1"/>
    <col min="7180" max="7415" width="7.5" style="2"/>
    <col min="7416" max="7416" width="9.5" style="2" customWidth="1"/>
    <col min="7417" max="7417" width="25" style="2" customWidth="1"/>
    <col min="7418" max="7418" width="8.75" style="2" customWidth="1"/>
    <col min="7419" max="7419" width="6.875" style="2" customWidth="1"/>
    <col min="7420" max="7420" width="0" style="2" hidden="1" customWidth="1"/>
    <col min="7421" max="7422" width="11.375" style="2" customWidth="1"/>
    <col min="7423" max="7427" width="0" style="2" hidden="1" customWidth="1"/>
    <col min="7428" max="7428" width="11.375" style="2" customWidth="1"/>
    <col min="7429" max="7432" width="0" style="2" hidden="1" customWidth="1"/>
    <col min="7433" max="7434" width="11.375" style="2" customWidth="1"/>
    <col min="7435" max="7435" width="0" style="2" hidden="1" customWidth="1"/>
    <col min="7436" max="7671" width="7.5" style="2"/>
    <col min="7672" max="7672" width="9.5" style="2" customWidth="1"/>
    <col min="7673" max="7673" width="25" style="2" customWidth="1"/>
    <col min="7674" max="7674" width="8.75" style="2" customWidth="1"/>
    <col min="7675" max="7675" width="6.875" style="2" customWidth="1"/>
    <col min="7676" max="7676" width="0" style="2" hidden="1" customWidth="1"/>
    <col min="7677" max="7678" width="11.375" style="2" customWidth="1"/>
    <col min="7679" max="7683" width="0" style="2" hidden="1" customWidth="1"/>
    <col min="7684" max="7684" width="11.375" style="2" customWidth="1"/>
    <col min="7685" max="7688" width="0" style="2" hidden="1" customWidth="1"/>
    <col min="7689" max="7690" width="11.375" style="2" customWidth="1"/>
    <col min="7691" max="7691" width="0" style="2" hidden="1" customWidth="1"/>
    <col min="7692" max="7927" width="7.5" style="2"/>
    <col min="7928" max="7928" width="9.5" style="2" customWidth="1"/>
    <col min="7929" max="7929" width="25" style="2" customWidth="1"/>
    <col min="7930" max="7930" width="8.75" style="2" customWidth="1"/>
    <col min="7931" max="7931" width="6.875" style="2" customWidth="1"/>
    <col min="7932" max="7932" width="0" style="2" hidden="1" customWidth="1"/>
    <col min="7933" max="7934" width="11.375" style="2" customWidth="1"/>
    <col min="7935" max="7939" width="0" style="2" hidden="1" customWidth="1"/>
    <col min="7940" max="7940" width="11.375" style="2" customWidth="1"/>
    <col min="7941" max="7944" width="0" style="2" hidden="1" customWidth="1"/>
    <col min="7945" max="7946" width="11.375" style="2" customWidth="1"/>
    <col min="7947" max="7947" width="0" style="2" hidden="1" customWidth="1"/>
    <col min="7948" max="8183" width="7.5" style="2"/>
    <col min="8184" max="8184" width="9.5" style="2" customWidth="1"/>
    <col min="8185" max="8185" width="25" style="2" customWidth="1"/>
    <col min="8186" max="8186" width="8.75" style="2" customWidth="1"/>
    <col min="8187" max="8187" width="6.875" style="2" customWidth="1"/>
    <col min="8188" max="8188" width="0" style="2" hidden="1" customWidth="1"/>
    <col min="8189" max="8190" width="11.375" style="2" customWidth="1"/>
    <col min="8191" max="8195" width="0" style="2" hidden="1" customWidth="1"/>
    <col min="8196" max="8196" width="11.375" style="2" customWidth="1"/>
    <col min="8197" max="8200" width="0" style="2" hidden="1" customWidth="1"/>
    <col min="8201" max="8202" width="11.375" style="2" customWidth="1"/>
    <col min="8203" max="8203" width="0" style="2" hidden="1" customWidth="1"/>
    <col min="8204" max="8439" width="7.5" style="2"/>
    <col min="8440" max="8440" width="9.5" style="2" customWidth="1"/>
    <col min="8441" max="8441" width="25" style="2" customWidth="1"/>
    <col min="8442" max="8442" width="8.75" style="2" customWidth="1"/>
    <col min="8443" max="8443" width="6.875" style="2" customWidth="1"/>
    <col min="8444" max="8444" width="0" style="2" hidden="1" customWidth="1"/>
    <col min="8445" max="8446" width="11.375" style="2" customWidth="1"/>
    <col min="8447" max="8451" width="0" style="2" hidden="1" customWidth="1"/>
    <col min="8452" max="8452" width="11.375" style="2" customWidth="1"/>
    <col min="8453" max="8456" width="0" style="2" hidden="1" customWidth="1"/>
    <col min="8457" max="8458" width="11.375" style="2" customWidth="1"/>
    <col min="8459" max="8459" width="0" style="2" hidden="1" customWidth="1"/>
    <col min="8460" max="8695" width="7.5" style="2"/>
    <col min="8696" max="8696" width="9.5" style="2" customWidth="1"/>
    <col min="8697" max="8697" width="25" style="2" customWidth="1"/>
    <col min="8698" max="8698" width="8.75" style="2" customWidth="1"/>
    <col min="8699" max="8699" width="6.875" style="2" customWidth="1"/>
    <col min="8700" max="8700" width="0" style="2" hidden="1" customWidth="1"/>
    <col min="8701" max="8702" width="11.375" style="2" customWidth="1"/>
    <col min="8703" max="8707" width="0" style="2" hidden="1" customWidth="1"/>
    <col min="8708" max="8708" width="11.375" style="2" customWidth="1"/>
    <col min="8709" max="8712" width="0" style="2" hidden="1" customWidth="1"/>
    <col min="8713" max="8714" width="11.375" style="2" customWidth="1"/>
    <col min="8715" max="8715" width="0" style="2" hidden="1" customWidth="1"/>
    <col min="8716" max="8951" width="7.5" style="2"/>
    <col min="8952" max="8952" width="9.5" style="2" customWidth="1"/>
    <col min="8953" max="8953" width="25" style="2" customWidth="1"/>
    <col min="8954" max="8954" width="8.75" style="2" customWidth="1"/>
    <col min="8955" max="8955" width="6.875" style="2" customWidth="1"/>
    <col min="8956" max="8956" width="0" style="2" hidden="1" customWidth="1"/>
    <col min="8957" max="8958" width="11.375" style="2" customWidth="1"/>
    <col min="8959" max="8963" width="0" style="2" hidden="1" customWidth="1"/>
    <col min="8964" max="8964" width="11.375" style="2" customWidth="1"/>
    <col min="8965" max="8968" width="0" style="2" hidden="1" customWidth="1"/>
    <col min="8969" max="8970" width="11.375" style="2" customWidth="1"/>
    <col min="8971" max="8971" width="0" style="2" hidden="1" customWidth="1"/>
    <col min="8972" max="9207" width="7.5" style="2"/>
    <col min="9208" max="9208" width="9.5" style="2" customWidth="1"/>
    <col min="9209" max="9209" width="25" style="2" customWidth="1"/>
    <col min="9210" max="9210" width="8.75" style="2" customWidth="1"/>
    <col min="9211" max="9211" width="6.875" style="2" customWidth="1"/>
    <col min="9212" max="9212" width="0" style="2" hidden="1" customWidth="1"/>
    <col min="9213" max="9214" width="11.375" style="2" customWidth="1"/>
    <col min="9215" max="9219" width="0" style="2" hidden="1" customWidth="1"/>
    <col min="9220" max="9220" width="11.375" style="2" customWidth="1"/>
    <col min="9221" max="9224" width="0" style="2" hidden="1" customWidth="1"/>
    <col min="9225" max="9226" width="11.375" style="2" customWidth="1"/>
    <col min="9227" max="9227" width="0" style="2" hidden="1" customWidth="1"/>
    <col min="9228" max="9463" width="7.5" style="2"/>
    <col min="9464" max="9464" width="9.5" style="2" customWidth="1"/>
    <col min="9465" max="9465" width="25" style="2" customWidth="1"/>
    <col min="9466" max="9466" width="8.75" style="2" customWidth="1"/>
    <col min="9467" max="9467" width="6.875" style="2" customWidth="1"/>
    <col min="9468" max="9468" width="0" style="2" hidden="1" customWidth="1"/>
    <col min="9469" max="9470" width="11.375" style="2" customWidth="1"/>
    <col min="9471" max="9475" width="0" style="2" hidden="1" customWidth="1"/>
    <col min="9476" max="9476" width="11.375" style="2" customWidth="1"/>
    <col min="9477" max="9480" width="0" style="2" hidden="1" customWidth="1"/>
    <col min="9481" max="9482" width="11.375" style="2" customWidth="1"/>
    <col min="9483" max="9483" width="0" style="2" hidden="1" customWidth="1"/>
    <col min="9484" max="9719" width="7.5" style="2"/>
    <col min="9720" max="9720" width="9.5" style="2" customWidth="1"/>
    <col min="9721" max="9721" width="25" style="2" customWidth="1"/>
    <col min="9722" max="9722" width="8.75" style="2" customWidth="1"/>
    <col min="9723" max="9723" width="6.875" style="2" customWidth="1"/>
    <col min="9724" max="9724" width="0" style="2" hidden="1" customWidth="1"/>
    <col min="9725" max="9726" width="11.375" style="2" customWidth="1"/>
    <col min="9727" max="9731" width="0" style="2" hidden="1" customWidth="1"/>
    <col min="9732" max="9732" width="11.375" style="2" customWidth="1"/>
    <col min="9733" max="9736" width="0" style="2" hidden="1" customWidth="1"/>
    <col min="9737" max="9738" width="11.375" style="2" customWidth="1"/>
    <col min="9739" max="9739" width="0" style="2" hidden="1" customWidth="1"/>
    <col min="9740" max="9975" width="7.5" style="2"/>
    <col min="9976" max="9976" width="9.5" style="2" customWidth="1"/>
    <col min="9977" max="9977" width="25" style="2" customWidth="1"/>
    <col min="9978" max="9978" width="8.75" style="2" customWidth="1"/>
    <col min="9979" max="9979" width="6.875" style="2" customWidth="1"/>
    <col min="9980" max="9980" width="0" style="2" hidden="1" customWidth="1"/>
    <col min="9981" max="9982" width="11.375" style="2" customWidth="1"/>
    <col min="9983" max="9987" width="0" style="2" hidden="1" customWidth="1"/>
    <col min="9988" max="9988" width="11.375" style="2" customWidth="1"/>
    <col min="9989" max="9992" width="0" style="2" hidden="1" customWidth="1"/>
    <col min="9993" max="9994" width="11.375" style="2" customWidth="1"/>
    <col min="9995" max="9995" width="0" style="2" hidden="1" customWidth="1"/>
    <col min="9996" max="10231" width="7.5" style="2"/>
    <col min="10232" max="10232" width="9.5" style="2" customWidth="1"/>
    <col min="10233" max="10233" width="25" style="2" customWidth="1"/>
    <col min="10234" max="10234" width="8.75" style="2" customWidth="1"/>
    <col min="10235" max="10235" width="6.875" style="2" customWidth="1"/>
    <col min="10236" max="10236" width="0" style="2" hidden="1" customWidth="1"/>
    <col min="10237" max="10238" width="11.375" style="2" customWidth="1"/>
    <col min="10239" max="10243" width="0" style="2" hidden="1" customWidth="1"/>
    <col min="10244" max="10244" width="11.375" style="2" customWidth="1"/>
    <col min="10245" max="10248" width="0" style="2" hidden="1" customWidth="1"/>
    <col min="10249" max="10250" width="11.375" style="2" customWidth="1"/>
    <col min="10251" max="10251" width="0" style="2" hidden="1" customWidth="1"/>
    <col min="10252" max="10487" width="7.5" style="2"/>
    <col min="10488" max="10488" width="9.5" style="2" customWidth="1"/>
    <col min="10489" max="10489" width="25" style="2" customWidth="1"/>
    <col min="10490" max="10490" width="8.75" style="2" customWidth="1"/>
    <col min="10491" max="10491" width="6.875" style="2" customWidth="1"/>
    <col min="10492" max="10492" width="0" style="2" hidden="1" customWidth="1"/>
    <col min="10493" max="10494" width="11.375" style="2" customWidth="1"/>
    <col min="10495" max="10499" width="0" style="2" hidden="1" customWidth="1"/>
    <col min="10500" max="10500" width="11.375" style="2" customWidth="1"/>
    <col min="10501" max="10504" width="0" style="2" hidden="1" customWidth="1"/>
    <col min="10505" max="10506" width="11.375" style="2" customWidth="1"/>
    <col min="10507" max="10507" width="0" style="2" hidden="1" customWidth="1"/>
    <col min="10508" max="10743" width="7.5" style="2"/>
    <col min="10744" max="10744" width="9.5" style="2" customWidth="1"/>
    <col min="10745" max="10745" width="25" style="2" customWidth="1"/>
    <col min="10746" max="10746" width="8.75" style="2" customWidth="1"/>
    <col min="10747" max="10747" width="6.875" style="2" customWidth="1"/>
    <col min="10748" max="10748" width="0" style="2" hidden="1" customWidth="1"/>
    <col min="10749" max="10750" width="11.375" style="2" customWidth="1"/>
    <col min="10751" max="10755" width="0" style="2" hidden="1" customWidth="1"/>
    <col min="10756" max="10756" width="11.375" style="2" customWidth="1"/>
    <col min="10757" max="10760" width="0" style="2" hidden="1" customWidth="1"/>
    <col min="10761" max="10762" width="11.375" style="2" customWidth="1"/>
    <col min="10763" max="10763" width="0" style="2" hidden="1" customWidth="1"/>
    <col min="10764" max="10999" width="7.5" style="2"/>
    <col min="11000" max="11000" width="9.5" style="2" customWidth="1"/>
    <col min="11001" max="11001" width="25" style="2" customWidth="1"/>
    <col min="11002" max="11002" width="8.75" style="2" customWidth="1"/>
    <col min="11003" max="11003" width="6.875" style="2" customWidth="1"/>
    <col min="11004" max="11004" width="0" style="2" hidden="1" customWidth="1"/>
    <col min="11005" max="11006" width="11.375" style="2" customWidth="1"/>
    <col min="11007" max="11011" width="0" style="2" hidden="1" customWidth="1"/>
    <col min="11012" max="11012" width="11.375" style="2" customWidth="1"/>
    <col min="11013" max="11016" width="0" style="2" hidden="1" customWidth="1"/>
    <col min="11017" max="11018" width="11.375" style="2" customWidth="1"/>
    <col min="11019" max="11019" width="0" style="2" hidden="1" customWidth="1"/>
    <col min="11020" max="11255" width="7.5" style="2"/>
    <col min="11256" max="11256" width="9.5" style="2" customWidth="1"/>
    <col min="11257" max="11257" width="25" style="2" customWidth="1"/>
    <col min="11258" max="11258" width="8.75" style="2" customWidth="1"/>
    <col min="11259" max="11259" width="6.875" style="2" customWidth="1"/>
    <col min="11260" max="11260" width="0" style="2" hidden="1" customWidth="1"/>
    <col min="11261" max="11262" width="11.375" style="2" customWidth="1"/>
    <col min="11263" max="11267" width="0" style="2" hidden="1" customWidth="1"/>
    <col min="11268" max="11268" width="11.375" style="2" customWidth="1"/>
    <col min="11269" max="11272" width="0" style="2" hidden="1" customWidth="1"/>
    <col min="11273" max="11274" width="11.375" style="2" customWidth="1"/>
    <col min="11275" max="11275" width="0" style="2" hidden="1" customWidth="1"/>
    <col min="11276" max="11511" width="7.5" style="2"/>
    <col min="11512" max="11512" width="9.5" style="2" customWidth="1"/>
    <col min="11513" max="11513" width="25" style="2" customWidth="1"/>
    <col min="11514" max="11514" width="8.75" style="2" customWidth="1"/>
    <col min="11515" max="11515" width="6.875" style="2" customWidth="1"/>
    <col min="11516" max="11516" width="0" style="2" hidden="1" customWidth="1"/>
    <col min="11517" max="11518" width="11.375" style="2" customWidth="1"/>
    <col min="11519" max="11523" width="0" style="2" hidden="1" customWidth="1"/>
    <col min="11524" max="11524" width="11.375" style="2" customWidth="1"/>
    <col min="11525" max="11528" width="0" style="2" hidden="1" customWidth="1"/>
    <col min="11529" max="11530" width="11.375" style="2" customWidth="1"/>
    <col min="11531" max="11531" width="0" style="2" hidden="1" customWidth="1"/>
    <col min="11532" max="11767" width="7.5" style="2"/>
    <col min="11768" max="11768" width="9.5" style="2" customWidth="1"/>
    <col min="11769" max="11769" width="25" style="2" customWidth="1"/>
    <col min="11770" max="11770" width="8.75" style="2" customWidth="1"/>
    <col min="11771" max="11771" width="6.875" style="2" customWidth="1"/>
    <col min="11772" max="11772" width="0" style="2" hidden="1" customWidth="1"/>
    <col min="11773" max="11774" width="11.375" style="2" customWidth="1"/>
    <col min="11775" max="11779" width="0" style="2" hidden="1" customWidth="1"/>
    <col min="11780" max="11780" width="11.375" style="2" customWidth="1"/>
    <col min="11781" max="11784" width="0" style="2" hidden="1" customWidth="1"/>
    <col min="11785" max="11786" width="11.375" style="2" customWidth="1"/>
    <col min="11787" max="11787" width="0" style="2" hidden="1" customWidth="1"/>
    <col min="11788" max="12023" width="7.5" style="2"/>
    <col min="12024" max="12024" width="9.5" style="2" customWidth="1"/>
    <col min="12025" max="12025" width="25" style="2" customWidth="1"/>
    <col min="12026" max="12026" width="8.75" style="2" customWidth="1"/>
    <col min="12027" max="12027" width="6.875" style="2" customWidth="1"/>
    <col min="12028" max="12028" width="0" style="2" hidden="1" customWidth="1"/>
    <col min="12029" max="12030" width="11.375" style="2" customWidth="1"/>
    <col min="12031" max="12035" width="0" style="2" hidden="1" customWidth="1"/>
    <col min="12036" max="12036" width="11.375" style="2" customWidth="1"/>
    <col min="12037" max="12040" width="0" style="2" hidden="1" customWidth="1"/>
    <col min="12041" max="12042" width="11.375" style="2" customWidth="1"/>
    <col min="12043" max="12043" width="0" style="2" hidden="1" customWidth="1"/>
    <col min="12044" max="12279" width="7.5" style="2"/>
    <col min="12280" max="12280" width="9.5" style="2" customWidth="1"/>
    <col min="12281" max="12281" width="25" style="2" customWidth="1"/>
    <col min="12282" max="12282" width="8.75" style="2" customWidth="1"/>
    <col min="12283" max="12283" width="6.875" style="2" customWidth="1"/>
    <col min="12284" max="12284" width="0" style="2" hidden="1" customWidth="1"/>
    <col min="12285" max="12286" width="11.375" style="2" customWidth="1"/>
    <col min="12287" max="12291" width="0" style="2" hidden="1" customWidth="1"/>
    <col min="12292" max="12292" width="11.375" style="2" customWidth="1"/>
    <col min="12293" max="12296" width="0" style="2" hidden="1" customWidth="1"/>
    <col min="12297" max="12298" width="11.375" style="2" customWidth="1"/>
    <col min="12299" max="12299" width="0" style="2" hidden="1" customWidth="1"/>
    <col min="12300" max="12535" width="7.5" style="2"/>
    <col min="12536" max="12536" width="9.5" style="2" customWidth="1"/>
    <col min="12537" max="12537" width="25" style="2" customWidth="1"/>
    <col min="12538" max="12538" width="8.75" style="2" customWidth="1"/>
    <col min="12539" max="12539" width="6.875" style="2" customWidth="1"/>
    <col min="12540" max="12540" width="0" style="2" hidden="1" customWidth="1"/>
    <col min="12541" max="12542" width="11.375" style="2" customWidth="1"/>
    <col min="12543" max="12547" width="0" style="2" hidden="1" customWidth="1"/>
    <col min="12548" max="12548" width="11.375" style="2" customWidth="1"/>
    <col min="12549" max="12552" width="0" style="2" hidden="1" customWidth="1"/>
    <col min="12553" max="12554" width="11.375" style="2" customWidth="1"/>
    <col min="12555" max="12555" width="0" style="2" hidden="1" customWidth="1"/>
    <col min="12556" max="12791" width="7.5" style="2"/>
    <col min="12792" max="12792" width="9.5" style="2" customWidth="1"/>
    <col min="12793" max="12793" width="25" style="2" customWidth="1"/>
    <col min="12794" max="12794" width="8.75" style="2" customWidth="1"/>
    <col min="12795" max="12795" width="6.875" style="2" customWidth="1"/>
    <col min="12796" max="12796" width="0" style="2" hidden="1" customWidth="1"/>
    <col min="12797" max="12798" width="11.375" style="2" customWidth="1"/>
    <col min="12799" max="12803" width="0" style="2" hidden="1" customWidth="1"/>
    <col min="12804" max="12804" width="11.375" style="2" customWidth="1"/>
    <col min="12805" max="12808" width="0" style="2" hidden="1" customWidth="1"/>
    <col min="12809" max="12810" width="11.375" style="2" customWidth="1"/>
    <col min="12811" max="12811" width="0" style="2" hidden="1" customWidth="1"/>
    <col min="12812" max="13047" width="7.5" style="2"/>
    <col min="13048" max="13048" width="9.5" style="2" customWidth="1"/>
    <col min="13049" max="13049" width="25" style="2" customWidth="1"/>
    <col min="13050" max="13050" width="8.75" style="2" customWidth="1"/>
    <col min="13051" max="13051" width="6.875" style="2" customWidth="1"/>
    <col min="13052" max="13052" width="0" style="2" hidden="1" customWidth="1"/>
    <col min="13053" max="13054" width="11.375" style="2" customWidth="1"/>
    <col min="13055" max="13059" width="0" style="2" hidden="1" customWidth="1"/>
    <col min="13060" max="13060" width="11.375" style="2" customWidth="1"/>
    <col min="13061" max="13064" width="0" style="2" hidden="1" customWidth="1"/>
    <col min="13065" max="13066" width="11.375" style="2" customWidth="1"/>
    <col min="13067" max="13067" width="0" style="2" hidden="1" customWidth="1"/>
    <col min="13068" max="13303" width="7.5" style="2"/>
    <col min="13304" max="13304" width="9.5" style="2" customWidth="1"/>
    <col min="13305" max="13305" width="25" style="2" customWidth="1"/>
    <col min="13306" max="13306" width="8.75" style="2" customWidth="1"/>
    <col min="13307" max="13307" width="6.875" style="2" customWidth="1"/>
    <col min="13308" max="13308" width="0" style="2" hidden="1" customWidth="1"/>
    <col min="13309" max="13310" width="11.375" style="2" customWidth="1"/>
    <col min="13311" max="13315" width="0" style="2" hidden="1" customWidth="1"/>
    <col min="13316" max="13316" width="11.375" style="2" customWidth="1"/>
    <col min="13317" max="13320" width="0" style="2" hidden="1" customWidth="1"/>
    <col min="13321" max="13322" width="11.375" style="2" customWidth="1"/>
    <col min="13323" max="13323" width="0" style="2" hidden="1" customWidth="1"/>
    <col min="13324" max="13559" width="7.5" style="2"/>
    <col min="13560" max="13560" width="9.5" style="2" customWidth="1"/>
    <col min="13561" max="13561" width="25" style="2" customWidth="1"/>
    <col min="13562" max="13562" width="8.75" style="2" customWidth="1"/>
    <col min="13563" max="13563" width="6.875" style="2" customWidth="1"/>
    <col min="13564" max="13564" width="0" style="2" hidden="1" customWidth="1"/>
    <col min="13565" max="13566" width="11.375" style="2" customWidth="1"/>
    <col min="13567" max="13571" width="0" style="2" hidden="1" customWidth="1"/>
    <col min="13572" max="13572" width="11.375" style="2" customWidth="1"/>
    <col min="13573" max="13576" width="0" style="2" hidden="1" customWidth="1"/>
    <col min="13577" max="13578" width="11.375" style="2" customWidth="1"/>
    <col min="13579" max="13579" width="0" style="2" hidden="1" customWidth="1"/>
    <col min="13580" max="13815" width="7.5" style="2"/>
    <col min="13816" max="13816" width="9.5" style="2" customWidth="1"/>
    <col min="13817" max="13817" width="25" style="2" customWidth="1"/>
    <col min="13818" max="13818" width="8.75" style="2" customWidth="1"/>
    <col min="13819" max="13819" width="6.875" style="2" customWidth="1"/>
    <col min="13820" max="13820" width="0" style="2" hidden="1" customWidth="1"/>
    <col min="13821" max="13822" width="11.375" style="2" customWidth="1"/>
    <col min="13823" max="13827" width="0" style="2" hidden="1" customWidth="1"/>
    <col min="13828" max="13828" width="11.375" style="2" customWidth="1"/>
    <col min="13829" max="13832" width="0" style="2" hidden="1" customWidth="1"/>
    <col min="13833" max="13834" width="11.375" style="2" customWidth="1"/>
    <col min="13835" max="13835" width="0" style="2" hidden="1" customWidth="1"/>
    <col min="13836" max="14071" width="7.5" style="2"/>
    <col min="14072" max="14072" width="9.5" style="2" customWidth="1"/>
    <col min="14073" max="14073" width="25" style="2" customWidth="1"/>
    <col min="14074" max="14074" width="8.75" style="2" customWidth="1"/>
    <col min="14075" max="14075" width="6.875" style="2" customWidth="1"/>
    <col min="14076" max="14076" width="0" style="2" hidden="1" customWidth="1"/>
    <col min="14077" max="14078" width="11.375" style="2" customWidth="1"/>
    <col min="14079" max="14083" width="0" style="2" hidden="1" customWidth="1"/>
    <col min="14084" max="14084" width="11.375" style="2" customWidth="1"/>
    <col min="14085" max="14088" width="0" style="2" hidden="1" customWidth="1"/>
    <col min="14089" max="14090" width="11.375" style="2" customWidth="1"/>
    <col min="14091" max="14091" width="0" style="2" hidden="1" customWidth="1"/>
    <col min="14092" max="14327" width="7.5" style="2"/>
    <col min="14328" max="14328" width="9.5" style="2" customWidth="1"/>
    <col min="14329" max="14329" width="25" style="2" customWidth="1"/>
    <col min="14330" max="14330" width="8.75" style="2" customWidth="1"/>
    <col min="14331" max="14331" width="6.875" style="2" customWidth="1"/>
    <col min="14332" max="14332" width="0" style="2" hidden="1" customWidth="1"/>
    <col min="14333" max="14334" width="11.375" style="2" customWidth="1"/>
    <col min="14335" max="14339" width="0" style="2" hidden="1" customWidth="1"/>
    <col min="14340" max="14340" width="11.375" style="2" customWidth="1"/>
    <col min="14341" max="14344" width="0" style="2" hidden="1" customWidth="1"/>
    <col min="14345" max="14346" width="11.375" style="2" customWidth="1"/>
    <col min="14347" max="14347" width="0" style="2" hidden="1" customWidth="1"/>
    <col min="14348" max="14583" width="7.5" style="2"/>
    <col min="14584" max="14584" width="9.5" style="2" customWidth="1"/>
    <col min="14585" max="14585" width="25" style="2" customWidth="1"/>
    <col min="14586" max="14586" width="8.75" style="2" customWidth="1"/>
    <col min="14587" max="14587" width="6.875" style="2" customWidth="1"/>
    <col min="14588" max="14588" width="0" style="2" hidden="1" customWidth="1"/>
    <col min="14589" max="14590" width="11.375" style="2" customWidth="1"/>
    <col min="14591" max="14595" width="0" style="2" hidden="1" customWidth="1"/>
    <col min="14596" max="14596" width="11.375" style="2" customWidth="1"/>
    <col min="14597" max="14600" width="0" style="2" hidden="1" customWidth="1"/>
    <col min="14601" max="14602" width="11.375" style="2" customWidth="1"/>
    <col min="14603" max="14603" width="0" style="2" hidden="1" customWidth="1"/>
    <col min="14604" max="14839" width="7.5" style="2"/>
    <col min="14840" max="14840" width="9.5" style="2" customWidth="1"/>
    <col min="14841" max="14841" width="25" style="2" customWidth="1"/>
    <col min="14842" max="14842" width="8.75" style="2" customWidth="1"/>
    <col min="14843" max="14843" width="6.875" style="2" customWidth="1"/>
    <col min="14844" max="14844" width="0" style="2" hidden="1" customWidth="1"/>
    <col min="14845" max="14846" width="11.375" style="2" customWidth="1"/>
    <col min="14847" max="14851" width="0" style="2" hidden="1" customWidth="1"/>
    <col min="14852" max="14852" width="11.375" style="2" customWidth="1"/>
    <col min="14853" max="14856" width="0" style="2" hidden="1" customWidth="1"/>
    <col min="14857" max="14858" width="11.375" style="2" customWidth="1"/>
    <col min="14859" max="14859" width="0" style="2" hidden="1" customWidth="1"/>
    <col min="14860" max="15095" width="7.5" style="2"/>
    <col min="15096" max="15096" width="9.5" style="2" customWidth="1"/>
    <col min="15097" max="15097" width="25" style="2" customWidth="1"/>
    <col min="15098" max="15098" width="8.75" style="2" customWidth="1"/>
    <col min="15099" max="15099" width="6.875" style="2" customWidth="1"/>
    <col min="15100" max="15100" width="0" style="2" hidden="1" customWidth="1"/>
    <col min="15101" max="15102" width="11.375" style="2" customWidth="1"/>
    <col min="15103" max="15107" width="0" style="2" hidden="1" customWidth="1"/>
    <col min="15108" max="15108" width="11.375" style="2" customWidth="1"/>
    <col min="15109" max="15112" width="0" style="2" hidden="1" customWidth="1"/>
    <col min="15113" max="15114" width="11.375" style="2" customWidth="1"/>
    <col min="15115" max="15115" width="0" style="2" hidden="1" customWidth="1"/>
    <col min="15116" max="15351" width="7.5" style="2"/>
    <col min="15352" max="15352" width="9.5" style="2" customWidth="1"/>
    <col min="15353" max="15353" width="25" style="2" customWidth="1"/>
    <col min="15354" max="15354" width="8.75" style="2" customWidth="1"/>
    <col min="15355" max="15355" width="6.875" style="2" customWidth="1"/>
    <col min="15356" max="15356" width="0" style="2" hidden="1" customWidth="1"/>
    <col min="15357" max="15358" width="11.375" style="2" customWidth="1"/>
    <col min="15359" max="15363" width="0" style="2" hidden="1" customWidth="1"/>
    <col min="15364" max="15364" width="11.375" style="2" customWidth="1"/>
    <col min="15365" max="15368" width="0" style="2" hidden="1" customWidth="1"/>
    <col min="15369" max="15370" width="11.375" style="2" customWidth="1"/>
    <col min="15371" max="15371" width="0" style="2" hidden="1" customWidth="1"/>
    <col min="15372" max="15607" width="7.5" style="2"/>
    <col min="15608" max="15608" width="9.5" style="2" customWidth="1"/>
    <col min="15609" max="15609" width="25" style="2" customWidth="1"/>
    <col min="15610" max="15610" width="8.75" style="2" customWidth="1"/>
    <col min="15611" max="15611" width="6.875" style="2" customWidth="1"/>
    <col min="15612" max="15612" width="0" style="2" hidden="1" customWidth="1"/>
    <col min="15613" max="15614" width="11.375" style="2" customWidth="1"/>
    <col min="15615" max="15619" width="0" style="2" hidden="1" customWidth="1"/>
    <col min="15620" max="15620" width="11.375" style="2" customWidth="1"/>
    <col min="15621" max="15624" width="0" style="2" hidden="1" customWidth="1"/>
    <col min="15625" max="15626" width="11.375" style="2" customWidth="1"/>
    <col min="15627" max="15627" width="0" style="2" hidden="1" customWidth="1"/>
    <col min="15628" max="15863" width="7.5" style="2"/>
    <col min="15864" max="15864" width="9.5" style="2" customWidth="1"/>
    <col min="15865" max="15865" width="25" style="2" customWidth="1"/>
    <col min="15866" max="15866" width="8.75" style="2" customWidth="1"/>
    <col min="15867" max="15867" width="6.875" style="2" customWidth="1"/>
    <col min="15868" max="15868" width="0" style="2" hidden="1" customWidth="1"/>
    <col min="15869" max="15870" width="11.375" style="2" customWidth="1"/>
    <col min="15871" max="15875" width="0" style="2" hidden="1" customWidth="1"/>
    <col min="15876" max="15876" width="11.375" style="2" customWidth="1"/>
    <col min="15877" max="15880" width="0" style="2" hidden="1" customWidth="1"/>
    <col min="15881" max="15882" width="11.375" style="2" customWidth="1"/>
    <col min="15883" max="15883" width="0" style="2" hidden="1" customWidth="1"/>
    <col min="15884" max="16119" width="7.5" style="2"/>
    <col min="16120" max="16120" width="9.5" style="2" customWidth="1"/>
    <col min="16121" max="16121" width="25" style="2" customWidth="1"/>
    <col min="16122" max="16122" width="8.75" style="2" customWidth="1"/>
    <col min="16123" max="16123" width="6.875" style="2" customWidth="1"/>
    <col min="16124" max="16124" width="0" style="2" hidden="1" customWidth="1"/>
    <col min="16125" max="16126" width="11.375" style="2" customWidth="1"/>
    <col min="16127" max="16131" width="0" style="2" hidden="1" customWidth="1"/>
    <col min="16132" max="16132" width="11.375" style="2" customWidth="1"/>
    <col min="16133" max="16136" width="0" style="2" hidden="1" customWidth="1"/>
    <col min="16137" max="16138" width="11.375" style="2" customWidth="1"/>
    <col min="16139" max="16139" width="0" style="2" hidden="1" customWidth="1"/>
    <col min="16140" max="16384" width="7.5" style="2"/>
  </cols>
  <sheetData>
    <row r="1" spans="1:24" s="166" customFormat="1" ht="18.75">
      <c r="A1" s="593" t="s">
        <v>420</v>
      </c>
      <c r="B1" s="593"/>
      <c r="C1" s="593"/>
      <c r="D1" s="593"/>
      <c r="E1" s="593"/>
      <c r="F1" s="593"/>
      <c r="G1" s="593"/>
      <c r="H1" s="593"/>
      <c r="I1" s="593"/>
      <c r="J1" s="593"/>
      <c r="K1" s="593"/>
      <c r="L1" s="593"/>
      <c r="M1" s="593"/>
      <c r="N1" s="593"/>
    </row>
    <row r="2" spans="1:24" ht="18" customHeight="1">
      <c r="A2" s="593" t="s">
        <v>419</v>
      </c>
      <c r="B2" s="593"/>
      <c r="C2" s="593"/>
      <c r="D2" s="593"/>
      <c r="E2" s="593"/>
      <c r="F2" s="593"/>
      <c r="G2" s="593"/>
      <c r="H2" s="593"/>
      <c r="I2" s="593"/>
      <c r="J2" s="593"/>
      <c r="K2" s="593"/>
      <c r="L2" s="593"/>
      <c r="M2" s="593"/>
      <c r="N2" s="593"/>
    </row>
    <row r="3" spans="1:24" ht="22.5" customHeight="1">
      <c r="A3" s="665"/>
      <c r="B3" s="666"/>
      <c r="C3" s="666"/>
      <c r="D3" s="666"/>
      <c r="E3" s="666"/>
      <c r="F3" s="666"/>
      <c r="G3" s="666"/>
      <c r="H3" s="666"/>
      <c r="I3" s="666"/>
      <c r="J3" s="666"/>
      <c r="K3" s="666"/>
      <c r="L3" s="666"/>
    </row>
    <row r="4" spans="1:24" ht="45.75" customHeight="1">
      <c r="A4" s="667" t="s">
        <v>0</v>
      </c>
      <c r="B4" s="669" t="s">
        <v>18</v>
      </c>
      <c r="C4" s="669" t="s">
        <v>369</v>
      </c>
      <c r="D4" s="662" t="s">
        <v>380</v>
      </c>
      <c r="E4" s="662"/>
      <c r="F4" s="671" t="s">
        <v>370</v>
      </c>
      <c r="G4" s="662" t="s">
        <v>371</v>
      </c>
      <c r="H4" s="662" t="s">
        <v>368</v>
      </c>
      <c r="I4" s="657" t="s">
        <v>296</v>
      </c>
      <c r="J4" s="673" t="s">
        <v>659</v>
      </c>
      <c r="K4" s="674"/>
      <c r="L4" s="657" t="s">
        <v>373</v>
      </c>
      <c r="M4" s="663" t="s">
        <v>374</v>
      </c>
      <c r="N4" s="664"/>
      <c r="O4" s="657" t="s">
        <v>40</v>
      </c>
    </row>
    <row r="5" spans="1:24" ht="45" customHeight="1">
      <c r="A5" s="668"/>
      <c r="B5" s="670"/>
      <c r="C5" s="670"/>
      <c r="D5" s="160" t="s">
        <v>349</v>
      </c>
      <c r="E5" s="160" t="s">
        <v>350</v>
      </c>
      <c r="F5" s="671"/>
      <c r="G5" s="657"/>
      <c r="H5" s="657"/>
      <c r="I5" s="658"/>
      <c r="J5" s="459" t="s">
        <v>349</v>
      </c>
      <c r="K5" s="459" t="s">
        <v>350</v>
      </c>
      <c r="L5" s="672"/>
      <c r="M5" s="159" t="s">
        <v>349</v>
      </c>
      <c r="N5" s="247" t="s">
        <v>350</v>
      </c>
      <c r="O5" s="658"/>
    </row>
    <row r="6" spans="1:24" s="157" customFormat="1" ht="37.5" customHeight="1">
      <c r="A6" s="193" t="s">
        <v>358</v>
      </c>
      <c r="B6" s="193" t="s">
        <v>359</v>
      </c>
      <c r="C6" s="193" t="s">
        <v>360</v>
      </c>
      <c r="D6" s="193" t="s">
        <v>361</v>
      </c>
      <c r="E6" s="193" t="s">
        <v>362</v>
      </c>
      <c r="F6" s="194" t="s">
        <v>363</v>
      </c>
      <c r="G6" s="193" t="s">
        <v>364</v>
      </c>
      <c r="H6" s="194" t="s">
        <v>365</v>
      </c>
      <c r="I6" s="194" t="s">
        <v>366</v>
      </c>
      <c r="J6" s="194" t="s">
        <v>655</v>
      </c>
      <c r="K6" s="194" t="s">
        <v>656</v>
      </c>
      <c r="L6" s="194" t="s">
        <v>367</v>
      </c>
      <c r="M6" s="194" t="s">
        <v>657</v>
      </c>
      <c r="N6" s="582" t="s">
        <v>658</v>
      </c>
      <c r="O6" s="584" t="s">
        <v>732</v>
      </c>
    </row>
    <row r="7" spans="1:24" s="35" customFormat="1" ht="28.5">
      <c r="A7" s="159" t="s">
        <v>2</v>
      </c>
      <c r="B7" s="190" t="s">
        <v>66</v>
      </c>
      <c r="C7" s="159"/>
      <c r="D7" s="159"/>
      <c r="E7" s="159"/>
      <c r="F7" s="159"/>
      <c r="G7" s="159"/>
      <c r="H7" s="159"/>
      <c r="I7" s="159"/>
      <c r="J7" s="191"/>
      <c r="K7" s="191"/>
      <c r="L7" s="191"/>
      <c r="M7" s="159"/>
      <c r="N7" s="247"/>
      <c r="O7" s="659" t="s">
        <v>733</v>
      </c>
    </row>
    <row r="8" spans="1:24" s="35" customFormat="1" ht="15">
      <c r="A8" s="38">
        <v>1</v>
      </c>
      <c r="B8" s="7" t="s">
        <v>67</v>
      </c>
      <c r="C8" s="7" t="s">
        <v>375</v>
      </c>
      <c r="D8" s="187">
        <v>2.92</v>
      </c>
      <c r="E8" s="187">
        <v>2.92</v>
      </c>
      <c r="F8" s="38">
        <v>0</v>
      </c>
      <c r="G8" s="188">
        <v>2340000</v>
      </c>
      <c r="H8" s="189">
        <v>0.55000000000000004</v>
      </c>
      <c r="I8" s="196">
        <f>25000*26</f>
        <v>650000</v>
      </c>
      <c r="J8" s="196">
        <f>D8*G8*23.5%</f>
        <v>1605708</v>
      </c>
      <c r="K8" s="196">
        <f>E8*G8*23.5%</f>
        <v>1605708</v>
      </c>
      <c r="L8" s="196">
        <v>26</v>
      </c>
      <c r="M8" s="9">
        <f>((D8+F8)*G8*(1+H8)+I8+J8)/L8</f>
        <v>494098</v>
      </c>
      <c r="N8" s="583">
        <f>((E8+F8)*G8*(1+H8)+I8+K8)/L8</f>
        <v>494098</v>
      </c>
      <c r="O8" s="660"/>
    </row>
    <row r="9" spans="1:24" s="35" customFormat="1" ht="30">
      <c r="A9" s="38">
        <v>2</v>
      </c>
      <c r="B9" s="7" t="s">
        <v>66</v>
      </c>
      <c r="C9" s="7" t="s">
        <v>375</v>
      </c>
      <c r="D9" s="187">
        <v>2.92</v>
      </c>
      <c r="E9" s="187">
        <v>2.92</v>
      </c>
      <c r="F9" s="38">
        <v>0</v>
      </c>
      <c r="G9" s="188">
        <v>2340000</v>
      </c>
      <c r="H9" s="189">
        <v>0.55000000000000004</v>
      </c>
      <c r="I9" s="196">
        <f t="shared" ref="I9:I20" si="0">25000*26</f>
        <v>650000</v>
      </c>
      <c r="J9" s="196">
        <f>D9*G9*23.5%</f>
        <v>1605708</v>
      </c>
      <c r="K9" s="196">
        <f t="shared" ref="K9:K20" si="1">E9*G9*23.5%</f>
        <v>1605708</v>
      </c>
      <c r="L9" s="196">
        <v>26</v>
      </c>
      <c r="M9" s="9">
        <f>((D9+F9)*G9*(1+H9)+I9+J9)/L9</f>
        <v>494098</v>
      </c>
      <c r="N9" s="583">
        <f t="shared" ref="N9:N20" si="2">((E9+F9)*G9*(1+H9)+I9+K9)/L9</f>
        <v>494098</v>
      </c>
      <c r="O9" s="660"/>
    </row>
    <row r="10" spans="1:24" s="35" customFormat="1" ht="45">
      <c r="A10" s="38">
        <v>3</v>
      </c>
      <c r="B10" s="7" t="s">
        <v>69</v>
      </c>
      <c r="C10" s="7" t="s">
        <v>376</v>
      </c>
      <c r="D10" s="187">
        <v>2.71</v>
      </c>
      <c r="E10" s="195">
        <v>2.71</v>
      </c>
      <c r="F10" s="38">
        <v>0</v>
      </c>
      <c r="G10" s="188">
        <v>2340000</v>
      </c>
      <c r="H10" s="189">
        <v>0.55000000000000004</v>
      </c>
      <c r="I10" s="196">
        <f t="shared" si="0"/>
        <v>650000</v>
      </c>
      <c r="J10" s="196">
        <f>D10*G10*23.5%</f>
        <v>1490229</v>
      </c>
      <c r="K10" s="196">
        <f t="shared" si="1"/>
        <v>1490229</v>
      </c>
      <c r="L10" s="196">
        <v>26</v>
      </c>
      <c r="M10" s="9">
        <f>((D10+F10)*G10*(1+H10)+I10+J10)/L10</f>
        <v>460361.5</v>
      </c>
      <c r="N10" s="583">
        <f t="shared" si="2"/>
        <v>460361.5</v>
      </c>
      <c r="O10" s="660"/>
    </row>
    <row r="11" spans="1:24" s="35" customFormat="1" ht="60">
      <c r="A11" s="38">
        <v>4</v>
      </c>
      <c r="B11" s="7" t="s">
        <v>71</v>
      </c>
      <c r="C11" s="7" t="s">
        <v>375</v>
      </c>
      <c r="D11" s="187">
        <v>2.92</v>
      </c>
      <c r="E11" s="195">
        <v>2.92</v>
      </c>
      <c r="F11" s="38">
        <v>0</v>
      </c>
      <c r="G11" s="188">
        <f>'[1]Đầu vào'!D6</f>
        <v>2340000</v>
      </c>
      <c r="H11" s="189">
        <v>0.55000000000000004</v>
      </c>
      <c r="I11" s="196">
        <f t="shared" si="0"/>
        <v>650000</v>
      </c>
      <c r="J11" s="196">
        <f>D11*G11*23.5%</f>
        <v>1605708</v>
      </c>
      <c r="K11" s="196">
        <f t="shared" si="1"/>
        <v>1605708</v>
      </c>
      <c r="L11" s="196">
        <v>26</v>
      </c>
      <c r="M11" s="9">
        <f>((D11+F11)*G11*(1+H11)+I11+J11)/L11</f>
        <v>494098</v>
      </c>
      <c r="N11" s="583">
        <f t="shared" si="2"/>
        <v>494098</v>
      </c>
      <c r="O11" s="660"/>
    </row>
    <row r="12" spans="1:24" s="203" customFormat="1" ht="15">
      <c r="A12" s="36" t="s">
        <v>16</v>
      </c>
      <c r="B12" s="4" t="s">
        <v>73</v>
      </c>
      <c r="C12" s="159"/>
      <c r="D12" s="197"/>
      <c r="E12" s="198"/>
      <c r="F12" s="36"/>
      <c r="G12" s="199"/>
      <c r="H12" s="200"/>
      <c r="I12" s="201"/>
      <c r="J12" s="201"/>
      <c r="K12" s="196"/>
      <c r="L12" s="202"/>
      <c r="M12" s="9"/>
      <c r="N12" s="583"/>
      <c r="O12" s="660"/>
    </row>
    <row r="13" spans="1:24" s="35" customFormat="1" ht="15">
      <c r="A13" s="38">
        <v>5</v>
      </c>
      <c r="B13" s="7" t="s">
        <v>74</v>
      </c>
      <c r="C13" s="7" t="s">
        <v>375</v>
      </c>
      <c r="D13" s="187">
        <v>2.92</v>
      </c>
      <c r="E13" s="195">
        <v>2.92</v>
      </c>
      <c r="F13" s="38">
        <v>0</v>
      </c>
      <c r="G13" s="188">
        <v>2340000</v>
      </c>
      <c r="H13" s="189">
        <v>0.55000000000000004</v>
      </c>
      <c r="I13" s="196">
        <f t="shared" si="0"/>
        <v>650000</v>
      </c>
      <c r="J13" s="196">
        <f t="shared" ref="J13:J20" si="3">D13*G13*23.5%</f>
        <v>1605708</v>
      </c>
      <c r="K13" s="196">
        <f t="shared" si="1"/>
        <v>1605708</v>
      </c>
      <c r="L13" s="196">
        <v>26</v>
      </c>
      <c r="M13" s="9">
        <f t="shared" ref="M13:M20" si="4">((D13+F13)*G13*(1+H13)+I13+J13)/L13</f>
        <v>494098</v>
      </c>
      <c r="N13" s="583">
        <f t="shared" si="2"/>
        <v>494098</v>
      </c>
      <c r="O13" s="660"/>
    </row>
    <row r="14" spans="1:24" s="35" customFormat="1" ht="15">
      <c r="A14" s="38">
        <v>6</v>
      </c>
      <c r="B14" s="7" t="s">
        <v>79</v>
      </c>
      <c r="C14" s="7" t="s">
        <v>375</v>
      </c>
      <c r="D14" s="187">
        <v>2.92</v>
      </c>
      <c r="E14" s="195">
        <v>2.92</v>
      </c>
      <c r="F14" s="38">
        <v>0</v>
      </c>
      <c r="G14" s="188">
        <v>2340000</v>
      </c>
      <c r="H14" s="189">
        <v>0.55000000000000004</v>
      </c>
      <c r="I14" s="196">
        <f t="shared" si="0"/>
        <v>650000</v>
      </c>
      <c r="J14" s="196">
        <f t="shared" si="3"/>
        <v>1605708</v>
      </c>
      <c r="K14" s="196">
        <f t="shared" si="1"/>
        <v>1605708</v>
      </c>
      <c r="L14" s="196">
        <v>26</v>
      </c>
      <c r="M14" s="9">
        <f t="shared" si="4"/>
        <v>494098</v>
      </c>
      <c r="N14" s="583">
        <f t="shared" si="2"/>
        <v>494098</v>
      </c>
      <c r="O14" s="660"/>
      <c r="X14" s="192" t="s">
        <v>201</v>
      </c>
    </row>
    <row r="15" spans="1:24" s="35" customFormat="1" ht="15">
      <c r="A15" s="38">
        <v>7</v>
      </c>
      <c r="B15" s="7" t="s">
        <v>80</v>
      </c>
      <c r="C15" s="7" t="s">
        <v>375</v>
      </c>
      <c r="D15" s="187">
        <v>2.92</v>
      </c>
      <c r="E15" s="195">
        <v>2.92</v>
      </c>
      <c r="F15" s="38">
        <v>0</v>
      </c>
      <c r="G15" s="188">
        <v>2340000</v>
      </c>
      <c r="H15" s="189">
        <v>0.55000000000000004</v>
      </c>
      <c r="I15" s="196">
        <f t="shared" si="0"/>
        <v>650000</v>
      </c>
      <c r="J15" s="196">
        <f t="shared" si="3"/>
        <v>1605708</v>
      </c>
      <c r="K15" s="196">
        <f t="shared" si="1"/>
        <v>1605708</v>
      </c>
      <c r="L15" s="196">
        <v>26</v>
      </c>
      <c r="M15" s="9">
        <f t="shared" si="4"/>
        <v>494098</v>
      </c>
      <c r="N15" s="583">
        <f t="shared" si="2"/>
        <v>494098</v>
      </c>
      <c r="O15" s="660"/>
    </row>
    <row r="16" spans="1:24" s="35" customFormat="1" ht="15">
      <c r="A16" s="38">
        <v>8</v>
      </c>
      <c r="B16" s="7" t="s">
        <v>81</v>
      </c>
      <c r="C16" s="7" t="s">
        <v>377</v>
      </c>
      <c r="D16" s="187">
        <v>2.94</v>
      </c>
      <c r="E16" s="195">
        <v>2.94</v>
      </c>
      <c r="F16" s="38">
        <v>0</v>
      </c>
      <c r="G16" s="188">
        <v>2340000</v>
      </c>
      <c r="H16" s="189">
        <v>0.55000000000000004</v>
      </c>
      <c r="I16" s="196">
        <f t="shared" si="0"/>
        <v>650000</v>
      </c>
      <c r="J16" s="196">
        <f t="shared" si="3"/>
        <v>1616706</v>
      </c>
      <c r="K16" s="196">
        <f t="shared" si="1"/>
        <v>1616706</v>
      </c>
      <c r="L16" s="196">
        <v>26</v>
      </c>
      <c r="M16" s="9">
        <f t="shared" si="4"/>
        <v>497311</v>
      </c>
      <c r="N16" s="583">
        <f t="shared" si="2"/>
        <v>497311</v>
      </c>
      <c r="O16" s="660"/>
    </row>
    <row r="17" spans="1:15" s="35" customFormat="1" ht="15">
      <c r="A17" s="38">
        <v>9</v>
      </c>
      <c r="B17" s="7" t="s">
        <v>379</v>
      </c>
      <c r="C17" s="7" t="s">
        <v>378</v>
      </c>
      <c r="D17" s="187">
        <v>3.44</v>
      </c>
      <c r="E17" s="195">
        <v>3.44</v>
      </c>
      <c r="F17" s="38">
        <v>0</v>
      </c>
      <c r="G17" s="188">
        <v>2340000</v>
      </c>
      <c r="H17" s="189">
        <v>0.55000000000000004</v>
      </c>
      <c r="I17" s="196">
        <f t="shared" si="0"/>
        <v>650000</v>
      </c>
      <c r="J17" s="196">
        <f t="shared" si="3"/>
        <v>1891656</v>
      </c>
      <c r="K17" s="196">
        <f t="shared" si="1"/>
        <v>1891656</v>
      </c>
      <c r="L17" s="196">
        <v>26</v>
      </c>
      <c r="M17" s="9">
        <f t="shared" si="4"/>
        <v>577636</v>
      </c>
      <c r="N17" s="583">
        <f t="shared" si="2"/>
        <v>577636</v>
      </c>
      <c r="O17" s="660"/>
    </row>
    <row r="18" spans="1:15" s="35" customFormat="1" ht="75">
      <c r="A18" s="38">
        <v>10</v>
      </c>
      <c r="B18" s="7" t="s">
        <v>85</v>
      </c>
      <c r="C18" s="7" t="s">
        <v>375</v>
      </c>
      <c r="D18" s="187">
        <v>2.92</v>
      </c>
      <c r="E18" s="195">
        <v>2.92</v>
      </c>
      <c r="F18" s="38">
        <v>0</v>
      </c>
      <c r="G18" s="188">
        <v>2340000</v>
      </c>
      <c r="H18" s="189">
        <v>0.55000000000000004</v>
      </c>
      <c r="I18" s="196">
        <f t="shared" si="0"/>
        <v>650000</v>
      </c>
      <c r="J18" s="196">
        <f t="shared" si="3"/>
        <v>1605708</v>
      </c>
      <c r="K18" s="196">
        <f t="shared" si="1"/>
        <v>1605708</v>
      </c>
      <c r="L18" s="196">
        <v>26</v>
      </c>
      <c r="M18" s="9">
        <f t="shared" si="4"/>
        <v>494098</v>
      </c>
      <c r="N18" s="583">
        <f t="shared" si="2"/>
        <v>494098</v>
      </c>
      <c r="O18" s="660"/>
    </row>
    <row r="19" spans="1:15" s="35" customFormat="1" ht="15">
      <c r="A19" s="38">
        <v>11</v>
      </c>
      <c r="B19" s="7" t="s">
        <v>86</v>
      </c>
      <c r="C19" s="7" t="s">
        <v>377</v>
      </c>
      <c r="D19" s="187">
        <v>2.57</v>
      </c>
      <c r="E19" s="195">
        <v>2.57</v>
      </c>
      <c r="F19" s="38">
        <v>0</v>
      </c>
      <c r="G19" s="188">
        <v>2340000</v>
      </c>
      <c r="H19" s="189">
        <v>0.55000000000000004</v>
      </c>
      <c r="I19" s="196">
        <f t="shared" si="0"/>
        <v>650000</v>
      </c>
      <c r="J19" s="196">
        <f t="shared" si="3"/>
        <v>1413243</v>
      </c>
      <c r="K19" s="196">
        <f t="shared" si="1"/>
        <v>1413243</v>
      </c>
      <c r="L19" s="196">
        <v>26</v>
      </c>
      <c r="M19" s="9">
        <f t="shared" si="4"/>
        <v>437870.5</v>
      </c>
      <c r="N19" s="583">
        <f t="shared" si="2"/>
        <v>437870.5</v>
      </c>
      <c r="O19" s="660"/>
    </row>
    <row r="20" spans="1:15" s="35" customFormat="1" ht="15">
      <c r="A20" s="38">
        <v>12</v>
      </c>
      <c r="B20" s="7" t="s">
        <v>305</v>
      </c>
      <c r="C20" s="7" t="s">
        <v>378</v>
      </c>
      <c r="D20" s="187">
        <v>3.25</v>
      </c>
      <c r="E20" s="195">
        <v>3.05</v>
      </c>
      <c r="F20" s="318">
        <v>0</v>
      </c>
      <c r="G20" s="319">
        <v>2340000</v>
      </c>
      <c r="H20" s="320">
        <v>0.55000000000000004</v>
      </c>
      <c r="I20" s="321">
        <f t="shared" si="0"/>
        <v>650000</v>
      </c>
      <c r="J20" s="321">
        <f t="shared" si="3"/>
        <v>1787175</v>
      </c>
      <c r="K20" s="196">
        <f t="shared" si="1"/>
        <v>1677195</v>
      </c>
      <c r="L20" s="321">
        <v>26</v>
      </c>
      <c r="M20" s="204">
        <f t="shared" si="4"/>
        <v>547112.5</v>
      </c>
      <c r="N20" s="583">
        <f t="shared" si="2"/>
        <v>514982.5</v>
      </c>
      <c r="O20" s="661"/>
    </row>
  </sheetData>
  <mergeCells count="16">
    <mergeCell ref="O4:O5"/>
    <mergeCell ref="O7:O20"/>
    <mergeCell ref="A1:N1"/>
    <mergeCell ref="A2:N2"/>
    <mergeCell ref="D4:E4"/>
    <mergeCell ref="M4:N4"/>
    <mergeCell ref="A3:L3"/>
    <mergeCell ref="A4:A5"/>
    <mergeCell ref="B4:B5"/>
    <mergeCell ref="C4:C5"/>
    <mergeCell ref="F4:F5"/>
    <mergeCell ref="G4:G5"/>
    <mergeCell ref="H4:H5"/>
    <mergeCell ref="L4:L5"/>
    <mergeCell ref="I4:I5"/>
    <mergeCell ref="J4:K4"/>
  </mergeCells>
  <printOptions horizontalCentered="1"/>
  <pageMargins left="0.2" right="0.2" top="0.45" bottom="0.5" header="0.3" footer="0.3"/>
  <pageSetup paperSize="9" scale="95"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opLeftCell="A4" zoomScale="130" zoomScaleNormal="130" workbookViewId="0">
      <selection activeCell="J6" sqref="J6:J21"/>
    </sheetView>
  </sheetViews>
  <sheetFormatPr defaultRowHeight="15.75"/>
  <cols>
    <col min="1" max="1" width="4.5" bestFit="1" customWidth="1"/>
    <col min="2" max="2" width="35.75" style="264" customWidth="1"/>
    <col min="4" max="5" width="13.875" style="85" customWidth="1"/>
    <col min="6" max="7" width="12.125" customWidth="1"/>
    <col min="8" max="9" width="14.875" style="131" customWidth="1"/>
    <col min="10" max="10" width="31.875" customWidth="1"/>
  </cols>
  <sheetData>
    <row r="1" spans="1:11" ht="19.5" customHeight="1">
      <c r="A1" s="593" t="s">
        <v>422</v>
      </c>
      <c r="B1" s="593"/>
      <c r="C1" s="593"/>
      <c r="D1" s="593"/>
      <c r="E1" s="593"/>
      <c r="F1" s="593"/>
      <c r="G1" s="593"/>
      <c r="H1" s="593"/>
      <c r="I1" s="593"/>
      <c r="J1" s="593"/>
      <c r="K1" s="292"/>
    </row>
    <row r="2" spans="1:11" ht="18.75">
      <c r="A2" s="593" t="s">
        <v>421</v>
      </c>
      <c r="B2" s="593"/>
      <c r="C2" s="593"/>
      <c r="D2" s="593"/>
      <c r="E2" s="593"/>
      <c r="F2" s="593"/>
      <c r="G2" s="593"/>
      <c r="H2" s="593"/>
      <c r="I2" s="593"/>
      <c r="J2" s="593"/>
      <c r="K2" s="292"/>
    </row>
    <row r="3" spans="1:11">
      <c r="A3" s="22"/>
      <c r="B3" s="22"/>
      <c r="C3" s="22"/>
      <c r="D3" s="129"/>
      <c r="E3" s="129"/>
      <c r="F3" s="22"/>
      <c r="G3" s="22"/>
      <c r="H3" s="130"/>
      <c r="I3" s="130"/>
      <c r="J3" s="22"/>
    </row>
    <row r="4" spans="1:11" s="170" customFormat="1" ht="31.5" customHeight="1">
      <c r="A4" s="682" t="s">
        <v>0</v>
      </c>
      <c r="B4" s="682" t="s">
        <v>44</v>
      </c>
      <c r="C4" s="682" t="s">
        <v>399</v>
      </c>
      <c r="D4" s="686" t="s">
        <v>398</v>
      </c>
      <c r="E4" s="687"/>
      <c r="F4" s="678" t="s">
        <v>354</v>
      </c>
      <c r="G4" s="679"/>
      <c r="H4" s="680" t="s">
        <v>356</v>
      </c>
      <c r="I4" s="681"/>
      <c r="J4" s="684" t="s">
        <v>40</v>
      </c>
    </row>
    <row r="5" spans="1:11" s="170" customFormat="1" ht="31.5">
      <c r="A5" s="683"/>
      <c r="B5" s="683"/>
      <c r="C5" s="683"/>
      <c r="D5" s="456" t="s">
        <v>349</v>
      </c>
      <c r="E5" s="456" t="s">
        <v>350</v>
      </c>
      <c r="F5" s="456" t="s">
        <v>349</v>
      </c>
      <c r="G5" s="456" t="s">
        <v>350</v>
      </c>
      <c r="H5" s="456" t="s">
        <v>349</v>
      </c>
      <c r="I5" s="456" t="s">
        <v>350</v>
      </c>
      <c r="J5" s="685"/>
    </row>
    <row r="6" spans="1:11" s="170" customFormat="1">
      <c r="A6" s="259" t="s">
        <v>2</v>
      </c>
      <c r="B6" s="260" t="s">
        <v>66</v>
      </c>
      <c r="C6" s="177"/>
      <c r="D6" s="261"/>
      <c r="E6" s="261"/>
      <c r="F6" s="178"/>
      <c r="G6" s="178"/>
      <c r="H6" s="468">
        <f>SUM(H7:H8)</f>
        <v>826.95287671232836</v>
      </c>
      <c r="I6" s="468">
        <f>SUM(I7:I8)</f>
        <v>0</v>
      </c>
      <c r="J6" s="675" t="s">
        <v>734</v>
      </c>
    </row>
    <row r="7" spans="1:11" s="170" customFormat="1">
      <c r="A7" s="176">
        <v>1</v>
      </c>
      <c r="B7" s="177" t="s">
        <v>90</v>
      </c>
      <c r="C7" s="176" t="s">
        <v>298</v>
      </c>
      <c r="D7" s="262">
        <v>9.738666666666662E-4</v>
      </c>
      <c r="E7" s="262"/>
      <c r="F7" s="183">
        <f>'X.DG KH may'!H12</f>
        <v>560958.90410958906</v>
      </c>
      <c r="G7" s="183"/>
      <c r="H7" s="263">
        <f>D7*F7</f>
        <v>546.29917808219159</v>
      </c>
      <c r="I7" s="263">
        <f>E7*G7</f>
        <v>0</v>
      </c>
      <c r="J7" s="676"/>
    </row>
    <row r="8" spans="1:11" s="170" customFormat="1">
      <c r="A8" s="176">
        <v>2</v>
      </c>
      <c r="B8" s="177" t="s">
        <v>92</v>
      </c>
      <c r="C8" s="176" t="s">
        <v>298</v>
      </c>
      <c r="D8" s="262">
        <v>9.738666666666662E-4</v>
      </c>
      <c r="E8" s="262"/>
      <c r="F8" s="183">
        <f>'X.DG KH may'!H19</f>
        <v>288184.9315068493</v>
      </c>
      <c r="G8" s="183"/>
      <c r="H8" s="263">
        <f>D8*F8</f>
        <v>280.65369863013683</v>
      </c>
      <c r="I8" s="263">
        <f>E8*G8</f>
        <v>0</v>
      </c>
      <c r="J8" s="676"/>
    </row>
    <row r="9" spans="1:11" s="170" customFormat="1">
      <c r="A9" s="259" t="s">
        <v>16</v>
      </c>
      <c r="B9" s="260" t="s">
        <v>73</v>
      </c>
      <c r="C9" s="177"/>
      <c r="D9" s="262"/>
      <c r="E9" s="262"/>
      <c r="F9" s="183"/>
      <c r="G9" s="183"/>
      <c r="H9" s="468">
        <f>SUM(H10:H21)</f>
        <v>6387.7243159410909</v>
      </c>
      <c r="I9" s="468">
        <f>SUM(I10:I21)</f>
        <v>7276.67274</v>
      </c>
      <c r="J9" s="676"/>
    </row>
    <row r="10" spans="1:11" s="170" customFormat="1">
      <c r="A10" s="242">
        <v>3</v>
      </c>
      <c r="B10" s="241" t="s">
        <v>394</v>
      </c>
      <c r="C10" s="176" t="s">
        <v>298</v>
      </c>
      <c r="D10" s="262">
        <v>1.9767999999999995E-3</v>
      </c>
      <c r="E10" s="262">
        <v>2.0999999999999999E-3</v>
      </c>
      <c r="F10" s="183">
        <f>'VI. ĐG May '!H6</f>
        <v>1381126.1625000001</v>
      </c>
      <c r="G10" s="183">
        <f>'VI. ĐG May '!I6</f>
        <v>1446895</v>
      </c>
      <c r="H10" s="263">
        <f>D10*F10</f>
        <v>2730.2101980299994</v>
      </c>
      <c r="I10" s="263">
        <f>E10*G10</f>
        <v>3038.4794999999999</v>
      </c>
      <c r="J10" s="676"/>
    </row>
    <row r="11" spans="1:11" s="170" customFormat="1">
      <c r="A11" s="242">
        <v>4</v>
      </c>
      <c r="B11" s="244" t="s">
        <v>301</v>
      </c>
      <c r="C11" s="176" t="s">
        <v>298</v>
      </c>
      <c r="D11" s="262">
        <v>1.2217333333333334E-3</v>
      </c>
      <c r="E11" s="262">
        <v>1.2999999999999999E-3</v>
      </c>
      <c r="F11" s="183">
        <f>'VI. ĐG May '!H10</f>
        <v>1057276.395</v>
      </c>
      <c r="G11" s="183">
        <f>'VI. ĐG May '!I10</f>
        <v>1159117</v>
      </c>
      <c r="H11" s="263">
        <f t="shared" ref="H11:H21" si="0">D11*F11</f>
        <v>1291.7098143180001</v>
      </c>
      <c r="I11" s="263">
        <f t="shared" ref="I11:I21" si="1">E11*G11</f>
        <v>1506.8520999999998</v>
      </c>
      <c r="J11" s="676"/>
    </row>
    <row r="12" spans="1:11" s="170" customFormat="1" ht="18.75">
      <c r="A12" s="242">
        <v>5</v>
      </c>
      <c r="B12" s="241" t="s">
        <v>390</v>
      </c>
      <c r="C12" s="176" t="s">
        <v>298</v>
      </c>
      <c r="D12" s="262">
        <v>3.8400000000000023E-4</v>
      </c>
      <c r="E12" s="262">
        <v>1E-3</v>
      </c>
      <c r="F12" s="183">
        <f>'VI. ĐG May '!H14</f>
        <v>632611.67884615401</v>
      </c>
      <c r="G12" s="183">
        <f>'VI. ĐG May '!I14</f>
        <v>612499</v>
      </c>
      <c r="H12" s="263">
        <f t="shared" si="0"/>
        <v>242.92288467692327</v>
      </c>
      <c r="I12" s="263">
        <f t="shared" si="1"/>
        <v>612.49900000000002</v>
      </c>
      <c r="J12" s="676"/>
    </row>
    <row r="13" spans="1:11" s="170" customFormat="1">
      <c r="A13" s="242">
        <v>6</v>
      </c>
      <c r="B13" s="241" t="s">
        <v>306</v>
      </c>
      <c r="C13" s="176" t="s">
        <v>298</v>
      </c>
      <c r="D13" s="262">
        <v>3.1072000000000006E-4</v>
      </c>
      <c r="E13" s="262">
        <v>3.6000000000000002E-4</v>
      </c>
      <c r="F13" s="183">
        <f>'VI. ĐG May '!H18</f>
        <v>261940.56923076924</v>
      </c>
      <c r="G13" s="183">
        <f>'VI. ĐG May '!I18</f>
        <v>208129</v>
      </c>
      <c r="H13" s="263">
        <f t="shared" si="0"/>
        <v>81.39017367138463</v>
      </c>
      <c r="I13" s="263">
        <f t="shared" si="1"/>
        <v>74.926439999999999</v>
      </c>
      <c r="J13" s="676"/>
    </row>
    <row r="14" spans="1:11" s="170" customFormat="1">
      <c r="A14" s="242">
        <v>7</v>
      </c>
      <c r="B14" s="243" t="s">
        <v>391</v>
      </c>
      <c r="C14" s="176" t="s">
        <v>298</v>
      </c>
      <c r="D14" s="262">
        <v>2.355066666666667E-3</v>
      </c>
      <c r="E14" s="262">
        <v>2.3999999999999998E-3</v>
      </c>
      <c r="F14" s="183">
        <f>'VI. ĐG May '!H22</f>
        <v>738461.11153846153</v>
      </c>
      <c r="G14" s="183">
        <f>'VI. ĐG May '!I22</f>
        <v>678307</v>
      </c>
      <c r="H14" s="263">
        <f t="shared" si="0"/>
        <v>1739.1251484138463</v>
      </c>
      <c r="I14" s="263">
        <f t="shared" si="1"/>
        <v>1627.9367999999999</v>
      </c>
      <c r="J14" s="676"/>
    </row>
    <row r="15" spans="1:11" s="170" customFormat="1">
      <c r="A15" s="242">
        <v>8</v>
      </c>
      <c r="B15" s="241" t="s">
        <v>305</v>
      </c>
      <c r="C15" s="176" t="s">
        <v>298</v>
      </c>
      <c r="D15" s="262">
        <v>3.7680000000000005E-4</v>
      </c>
      <c r="E15" s="262">
        <v>5.0000000000000001E-4</v>
      </c>
      <c r="F15" s="183">
        <f>'VI. ĐG May '!H26</f>
        <v>538123.48615384614</v>
      </c>
      <c r="G15" s="183">
        <f>'VI. ĐG May '!I26</f>
        <v>565796</v>
      </c>
      <c r="H15" s="263">
        <f t="shared" si="0"/>
        <v>202.76492958276924</v>
      </c>
      <c r="I15" s="263">
        <f t="shared" si="1"/>
        <v>282.89800000000002</v>
      </c>
      <c r="J15" s="676"/>
    </row>
    <row r="16" spans="1:11" s="170" customFormat="1">
      <c r="A16" s="242">
        <v>9</v>
      </c>
      <c r="B16" s="241" t="s">
        <v>302</v>
      </c>
      <c r="C16" s="176" t="s">
        <v>298</v>
      </c>
      <c r="D16" s="262">
        <v>1.6071999999999996E-3</v>
      </c>
      <c r="E16" s="262">
        <v>2.0999999999999999E-3</v>
      </c>
      <c r="F16" s="183">
        <f>'VI. ĐG May '!H30</f>
        <v>5800.0831578947373</v>
      </c>
      <c r="G16" s="183">
        <f>'VI. ĐG May '!I30</f>
        <v>6444</v>
      </c>
      <c r="H16" s="263">
        <f t="shared" si="0"/>
        <v>9.3218936513684199</v>
      </c>
      <c r="I16" s="263">
        <f t="shared" si="1"/>
        <v>13.532399999999999</v>
      </c>
      <c r="J16" s="676"/>
    </row>
    <row r="17" spans="1:10" s="170" customFormat="1">
      <c r="A17" s="242">
        <v>10</v>
      </c>
      <c r="B17" s="241" t="s">
        <v>303</v>
      </c>
      <c r="C17" s="176" t="s">
        <v>298</v>
      </c>
      <c r="D17" s="262">
        <v>3.8400000000000023E-4</v>
      </c>
      <c r="E17" s="262">
        <v>1E-3</v>
      </c>
      <c r="F17" s="183">
        <f>'VI. ĐG May '!H34</f>
        <v>14235.105000000001</v>
      </c>
      <c r="G17" s="183">
        <f>'VI. ĐG May '!I34</f>
        <v>15817</v>
      </c>
      <c r="H17" s="263">
        <f t="shared" si="0"/>
        <v>5.4662803200000036</v>
      </c>
      <c r="I17" s="263">
        <f t="shared" si="1"/>
        <v>15.817</v>
      </c>
      <c r="J17" s="676"/>
    </row>
    <row r="18" spans="1:10" s="170" customFormat="1">
      <c r="A18" s="242">
        <v>11</v>
      </c>
      <c r="B18" s="241" t="s">
        <v>304</v>
      </c>
      <c r="C18" s="176" t="s">
        <v>298</v>
      </c>
      <c r="D18" s="262">
        <v>1.5E-3</v>
      </c>
      <c r="E18" s="262">
        <v>1.5E-3</v>
      </c>
      <c r="F18" s="183">
        <f>'VI. ĐG May '!H38</f>
        <v>35103.599999999999</v>
      </c>
      <c r="G18" s="183">
        <f>'VI. ĐG May '!I38</f>
        <v>39004</v>
      </c>
      <c r="H18" s="263">
        <f t="shared" si="0"/>
        <v>52.6554</v>
      </c>
      <c r="I18" s="263">
        <f t="shared" si="1"/>
        <v>58.506</v>
      </c>
      <c r="J18" s="676"/>
    </row>
    <row r="19" spans="1:10" s="170" customFormat="1">
      <c r="A19" s="242">
        <v>12</v>
      </c>
      <c r="B19" s="241" t="s">
        <v>395</v>
      </c>
      <c r="C19" s="176" t="s">
        <v>298</v>
      </c>
      <c r="D19" s="262">
        <v>1.0866666666666685E-4</v>
      </c>
      <c r="E19" s="262">
        <v>5.0000000000000001E-4</v>
      </c>
      <c r="F19" s="183">
        <f>'VI. ĐG May '!H42</f>
        <v>18221.28</v>
      </c>
      <c r="G19" s="183">
        <f>'VI. ĐG May '!I42</f>
        <v>20247</v>
      </c>
      <c r="H19" s="263">
        <f t="shared" si="0"/>
        <v>1.9800457600000032</v>
      </c>
      <c r="I19" s="263">
        <f t="shared" si="1"/>
        <v>10.1235</v>
      </c>
      <c r="J19" s="676"/>
    </row>
    <row r="20" spans="1:10" s="170" customFormat="1">
      <c r="A20" s="242">
        <v>13</v>
      </c>
      <c r="B20" s="241" t="s">
        <v>396</v>
      </c>
      <c r="C20" s="176" t="s">
        <v>298</v>
      </c>
      <c r="D20" s="262">
        <v>5.0000000000000001E-4</v>
      </c>
      <c r="E20" s="262">
        <v>5.0000000000000001E-4</v>
      </c>
      <c r="F20" s="183">
        <f>'VI. ĐG May '!H46</f>
        <v>49144.031999999999</v>
      </c>
      <c r="G20" s="183">
        <f>'VI. ĐG May '!I46</f>
        <v>54604</v>
      </c>
      <c r="H20" s="263">
        <f t="shared" si="0"/>
        <v>24.572016000000001</v>
      </c>
      <c r="I20" s="263">
        <f t="shared" si="1"/>
        <v>27.302</v>
      </c>
      <c r="J20" s="676"/>
    </row>
    <row r="21" spans="1:10" s="170" customFormat="1">
      <c r="A21" s="242">
        <v>14</v>
      </c>
      <c r="B21" s="241" t="s">
        <v>397</v>
      </c>
      <c r="C21" s="176" t="s">
        <v>298</v>
      </c>
      <c r="D21" s="262">
        <v>3.9926666666666676E-4</v>
      </c>
      <c r="E21" s="262">
        <v>5.0000000000000001E-4</v>
      </c>
      <c r="F21" s="183">
        <f>'VI. ĐG May '!H50</f>
        <v>14039.568000000001</v>
      </c>
      <c r="G21" s="183">
        <f>'VI. ĐG May '!I50</f>
        <v>15600</v>
      </c>
      <c r="H21" s="263">
        <f t="shared" si="0"/>
        <v>5.6055315168000019</v>
      </c>
      <c r="I21" s="263">
        <f t="shared" si="1"/>
        <v>7.8</v>
      </c>
      <c r="J21" s="677"/>
    </row>
    <row r="22" spans="1:10" s="170" customFormat="1">
      <c r="A22" s="255"/>
      <c r="B22" s="256" t="s">
        <v>357</v>
      </c>
      <c r="C22" s="256"/>
      <c r="D22" s="256"/>
      <c r="E22" s="256"/>
      <c r="F22" s="257"/>
      <c r="G22" s="257"/>
      <c r="H22" s="468">
        <f>H6+H9</f>
        <v>7214.6771926534193</v>
      </c>
      <c r="I22" s="468">
        <f>I6+I9</f>
        <v>7276.67274</v>
      </c>
      <c r="J22" s="258"/>
    </row>
  </sheetData>
  <mergeCells count="10">
    <mergeCell ref="J6:J21"/>
    <mergeCell ref="A1:J1"/>
    <mergeCell ref="A2:J2"/>
    <mergeCell ref="F4:G4"/>
    <mergeCell ref="H4:I4"/>
    <mergeCell ref="A4:A5"/>
    <mergeCell ref="B4:B5"/>
    <mergeCell ref="C4:C5"/>
    <mergeCell ref="J4:J5"/>
    <mergeCell ref="D4:E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view="pageBreakPreview" zoomScale="110" zoomScaleNormal="80" zoomScaleSheetLayoutView="110" workbookViewId="0">
      <pane xSplit="2" ySplit="5" topLeftCell="I6" activePane="bottomRight" state="frozen"/>
      <selection pane="topRight" activeCell="C1" sqref="C1"/>
      <selection pane="bottomLeft" activeCell="A7" sqref="A7"/>
      <selection pane="bottomRight" activeCell="J46" sqref="J46"/>
    </sheetView>
  </sheetViews>
  <sheetFormatPr defaultColWidth="11.75" defaultRowHeight="14.25"/>
  <cols>
    <col min="1" max="1" width="7.5" customWidth="1"/>
    <col min="2" max="2" width="31.375" customWidth="1"/>
    <col min="3" max="3" width="11.75" customWidth="1"/>
    <col min="4" max="4" width="12.5" customWidth="1"/>
    <col min="5" max="6" width="13" customWidth="1"/>
    <col min="7" max="7" width="12.5" customWidth="1"/>
    <col min="8" max="9" width="14.125" customWidth="1"/>
    <col min="10" max="10" width="49.875" customWidth="1"/>
  </cols>
  <sheetData>
    <row r="1" spans="1:10" s="240" customFormat="1" ht="15.75">
      <c r="A1" s="689" t="s">
        <v>423</v>
      </c>
      <c r="B1" s="689"/>
      <c r="C1" s="689"/>
      <c r="D1" s="689"/>
      <c r="E1" s="689"/>
      <c r="F1" s="689"/>
      <c r="G1" s="689"/>
      <c r="H1" s="689"/>
      <c r="I1" s="689"/>
      <c r="J1" s="689"/>
    </row>
    <row r="2" spans="1:10" s="240" customFormat="1" ht="15.75">
      <c r="A2" s="689" t="s">
        <v>529</v>
      </c>
      <c r="B2" s="689"/>
      <c r="C2" s="689"/>
      <c r="D2" s="689"/>
      <c r="E2" s="689"/>
      <c r="F2" s="689"/>
      <c r="G2" s="689"/>
      <c r="H2" s="689"/>
      <c r="I2" s="689"/>
      <c r="J2" s="689"/>
    </row>
    <row r="3" spans="1:10" s="240" customFormat="1" ht="15.75"/>
    <row r="4" spans="1:10" s="364" customFormat="1" ht="15.75" customHeight="1">
      <c r="A4" s="688" t="s">
        <v>0</v>
      </c>
      <c r="B4" s="688" t="s">
        <v>23</v>
      </c>
      <c r="C4" s="362" t="s">
        <v>244</v>
      </c>
      <c r="D4" s="693" t="s">
        <v>245</v>
      </c>
      <c r="E4" s="693" t="s">
        <v>45</v>
      </c>
      <c r="F4" s="691" t="s">
        <v>20</v>
      </c>
      <c r="G4" s="692"/>
      <c r="H4" s="615" t="s">
        <v>530</v>
      </c>
      <c r="I4" s="616"/>
      <c r="J4" s="690" t="s">
        <v>40</v>
      </c>
    </row>
    <row r="5" spans="1:10" s="364" customFormat="1" ht="28.5">
      <c r="A5" s="688"/>
      <c r="B5" s="688"/>
      <c r="C5" s="363"/>
      <c r="D5" s="694"/>
      <c r="E5" s="694"/>
      <c r="F5" s="363" t="s">
        <v>349</v>
      </c>
      <c r="G5" s="363" t="s">
        <v>350</v>
      </c>
      <c r="H5" s="363" t="s">
        <v>349</v>
      </c>
      <c r="I5" s="363" t="s">
        <v>350</v>
      </c>
      <c r="J5" s="690"/>
    </row>
    <row r="6" spans="1:10" s="472" customFormat="1" ht="30">
      <c r="A6" s="469">
        <v>1</v>
      </c>
      <c r="B6" s="470" t="s">
        <v>394</v>
      </c>
      <c r="C6" s="470"/>
      <c r="D6" s="470"/>
      <c r="E6" s="470"/>
      <c r="F6" s="470"/>
      <c r="G6" s="470"/>
      <c r="H6" s="471">
        <v>1381126.1625000001</v>
      </c>
      <c r="I6" s="471">
        <f>SUM(I7:I9)</f>
        <v>1446895</v>
      </c>
      <c r="J6" s="396" t="s">
        <v>586</v>
      </c>
    </row>
    <row r="7" spans="1:10" s="364" customFormat="1" ht="15">
      <c r="A7" s="467" t="s">
        <v>642</v>
      </c>
      <c r="B7" s="463" t="s">
        <v>540</v>
      </c>
      <c r="C7" s="463"/>
      <c r="D7" s="463"/>
      <c r="E7" s="463"/>
      <c r="F7" s="463"/>
      <c r="G7" s="463"/>
      <c r="H7" s="464"/>
      <c r="I7" s="464">
        <v>789215</v>
      </c>
      <c r="J7" s="465"/>
    </row>
    <row r="8" spans="1:10" s="381" customFormat="1" ht="15">
      <c r="A8" s="380" t="s">
        <v>25</v>
      </c>
      <c r="B8" s="351" t="s">
        <v>299</v>
      </c>
      <c r="C8" s="369"/>
      <c r="D8" s="369"/>
      <c r="E8" s="369"/>
      <c r="F8" s="369"/>
      <c r="G8" s="369"/>
      <c r="H8" s="369"/>
      <c r="I8" s="371">
        <v>344499</v>
      </c>
      <c r="J8" s="368"/>
    </row>
    <row r="9" spans="1:10" s="381" customFormat="1" ht="15">
      <c r="A9" s="380" t="s">
        <v>25</v>
      </c>
      <c r="B9" s="351" t="s">
        <v>300</v>
      </c>
      <c r="C9" s="369"/>
      <c r="D9" s="369"/>
      <c r="E9" s="369"/>
      <c r="F9" s="369"/>
      <c r="G9" s="369"/>
      <c r="H9" s="369"/>
      <c r="I9" s="371">
        <v>313181</v>
      </c>
      <c r="J9" s="368"/>
    </row>
    <row r="10" spans="1:10" s="472" customFormat="1" ht="45">
      <c r="A10" s="473">
        <v>2</v>
      </c>
      <c r="B10" s="474" t="s">
        <v>301</v>
      </c>
      <c r="C10" s="474"/>
      <c r="D10" s="474"/>
      <c r="E10" s="474"/>
      <c r="F10" s="474"/>
      <c r="G10" s="474"/>
      <c r="H10" s="475">
        <v>1057276.395</v>
      </c>
      <c r="I10" s="476">
        <f>SUM(I11:I13)</f>
        <v>1159117</v>
      </c>
      <c r="J10" s="397" t="s">
        <v>587</v>
      </c>
    </row>
    <row r="11" spans="1:10" s="364" customFormat="1" ht="15">
      <c r="A11" s="467" t="s">
        <v>642</v>
      </c>
      <c r="B11" s="463" t="s">
        <v>540</v>
      </c>
      <c r="C11" s="376"/>
      <c r="D11" s="376"/>
      <c r="E11" s="376"/>
      <c r="F11" s="376"/>
      <c r="G11" s="376"/>
      <c r="H11" s="377"/>
      <c r="I11" s="466">
        <v>690058</v>
      </c>
      <c r="J11" s="379"/>
    </row>
    <row r="12" spans="1:10" s="364" customFormat="1" ht="15">
      <c r="A12" s="380" t="s">
        <v>25</v>
      </c>
      <c r="B12" s="351" t="s">
        <v>299</v>
      </c>
      <c r="C12" s="376"/>
      <c r="D12" s="376"/>
      <c r="E12" s="376"/>
      <c r="F12" s="376"/>
      <c r="G12" s="376"/>
      <c r="H12" s="376"/>
      <c r="I12" s="378">
        <v>243550</v>
      </c>
      <c r="J12" s="379"/>
    </row>
    <row r="13" spans="1:10" s="364" customFormat="1" ht="15">
      <c r="A13" s="380" t="s">
        <v>25</v>
      </c>
      <c r="B13" s="351" t="s">
        <v>300</v>
      </c>
      <c r="C13" s="376"/>
      <c r="D13" s="376"/>
      <c r="E13" s="376"/>
      <c r="F13" s="376"/>
      <c r="G13" s="376"/>
      <c r="H13" s="376"/>
      <c r="I13" s="378">
        <v>225509</v>
      </c>
      <c r="J13" s="379"/>
    </row>
    <row r="14" spans="1:10" s="446" customFormat="1" ht="42.75" customHeight="1">
      <c r="A14" s="449">
        <v>3</v>
      </c>
      <c r="B14" s="444" t="s">
        <v>647</v>
      </c>
      <c r="C14" s="444"/>
      <c r="D14" s="444"/>
      <c r="E14" s="444"/>
      <c r="F14" s="444"/>
      <c r="G14" s="444"/>
      <c r="H14" s="477">
        <v>632611.67884615401</v>
      </c>
      <c r="I14" s="478">
        <f>SUM(I15:I17)</f>
        <v>612499</v>
      </c>
      <c r="J14" s="368" t="s">
        <v>596</v>
      </c>
    </row>
    <row r="15" spans="1:10" s="364" customFormat="1" ht="15">
      <c r="A15" s="380" t="s">
        <v>25</v>
      </c>
      <c r="B15" s="351" t="s">
        <v>540</v>
      </c>
      <c r="C15" s="376"/>
      <c r="D15" s="376"/>
      <c r="E15" s="376"/>
      <c r="F15" s="376"/>
      <c r="G15" s="376"/>
      <c r="H15" s="376"/>
      <c r="I15" s="371">
        <v>303187</v>
      </c>
      <c r="J15" s="379"/>
    </row>
    <row r="16" spans="1:10" s="364" customFormat="1" ht="15">
      <c r="A16" s="380" t="s">
        <v>25</v>
      </c>
      <c r="B16" s="351" t="s">
        <v>299</v>
      </c>
      <c r="C16" s="376"/>
      <c r="D16" s="376"/>
      <c r="E16" s="376"/>
      <c r="F16" s="376"/>
      <c r="G16" s="376"/>
      <c r="H16" s="376"/>
      <c r="I16" s="371">
        <v>125562</v>
      </c>
      <c r="J16" s="379"/>
    </row>
    <row r="17" spans="1:10" s="364" customFormat="1" ht="15">
      <c r="A17" s="380" t="s">
        <v>25</v>
      </c>
      <c r="B17" s="351" t="s">
        <v>300</v>
      </c>
      <c r="C17" s="376"/>
      <c r="D17" s="376"/>
      <c r="E17" s="376"/>
      <c r="F17" s="376"/>
      <c r="G17" s="376"/>
      <c r="H17" s="376"/>
      <c r="I17" s="371">
        <v>183750</v>
      </c>
      <c r="J17" s="379"/>
    </row>
    <row r="18" spans="1:10" s="446" customFormat="1" ht="45">
      <c r="A18" s="449">
        <v>4</v>
      </c>
      <c r="B18" s="444" t="s">
        <v>306</v>
      </c>
      <c r="C18" s="444"/>
      <c r="D18" s="444"/>
      <c r="E18" s="444"/>
      <c r="F18" s="444"/>
      <c r="G18" s="444"/>
      <c r="H18" s="477">
        <v>261940.56923076924</v>
      </c>
      <c r="I18" s="478">
        <f>SUM(I19:I21)</f>
        <v>208129</v>
      </c>
      <c r="J18" s="368" t="s">
        <v>588</v>
      </c>
    </row>
    <row r="19" spans="1:10" s="364" customFormat="1" ht="15">
      <c r="A19" s="380" t="s">
        <v>25</v>
      </c>
      <c r="B19" s="351" t="s">
        <v>540</v>
      </c>
      <c r="C19" s="376"/>
      <c r="D19" s="376"/>
      <c r="E19" s="376"/>
      <c r="F19" s="376"/>
      <c r="G19" s="376"/>
      <c r="H19" s="376"/>
      <c r="I19" s="371">
        <v>118721</v>
      </c>
      <c r="J19" s="379"/>
    </row>
    <row r="20" spans="1:10" s="364" customFormat="1" ht="15">
      <c r="A20" s="380" t="s">
        <v>25</v>
      </c>
      <c r="B20" s="351" t="s">
        <v>299</v>
      </c>
      <c r="C20" s="376"/>
      <c r="D20" s="376"/>
      <c r="E20" s="376"/>
      <c r="F20" s="376"/>
      <c r="G20" s="376"/>
      <c r="H20" s="376"/>
      <c r="I20" s="371">
        <v>45437</v>
      </c>
      <c r="J20" s="379"/>
    </row>
    <row r="21" spans="1:10" s="364" customFormat="1" ht="15">
      <c r="A21" s="380" t="s">
        <v>25</v>
      </c>
      <c r="B21" s="351" t="s">
        <v>300</v>
      </c>
      <c r="C21" s="376"/>
      <c r="D21" s="376"/>
      <c r="E21" s="376"/>
      <c r="F21" s="376"/>
      <c r="G21" s="376"/>
      <c r="H21" s="376"/>
      <c r="I21" s="371">
        <v>43971</v>
      </c>
      <c r="J21" s="379"/>
    </row>
    <row r="22" spans="1:10" s="446" customFormat="1" ht="45">
      <c r="A22" s="449">
        <v>5</v>
      </c>
      <c r="B22" s="442" t="s">
        <v>648</v>
      </c>
      <c r="C22" s="442"/>
      <c r="D22" s="442"/>
      <c r="E22" s="442"/>
      <c r="F22" s="442"/>
      <c r="G22" s="477"/>
      <c r="H22" s="477">
        <v>738461.11153846153</v>
      </c>
      <c r="I22" s="478">
        <f>SUM(I23:I25)</f>
        <v>678307</v>
      </c>
      <c r="J22" s="368" t="s">
        <v>589</v>
      </c>
    </row>
    <row r="23" spans="1:10" s="364" customFormat="1" ht="15">
      <c r="A23" s="380" t="s">
        <v>25</v>
      </c>
      <c r="B23" s="351" t="s">
        <v>540</v>
      </c>
      <c r="C23" s="376"/>
      <c r="D23" s="376"/>
      <c r="E23" s="376"/>
      <c r="F23" s="376"/>
      <c r="G23" s="376"/>
      <c r="H23" s="376"/>
      <c r="I23" s="371">
        <v>362871</v>
      </c>
      <c r="J23" s="379"/>
    </row>
    <row r="24" spans="1:10" s="364" customFormat="1" ht="15">
      <c r="A24" s="380" t="s">
        <v>25</v>
      </c>
      <c r="B24" s="351" t="s">
        <v>299</v>
      </c>
      <c r="C24" s="376"/>
      <c r="D24" s="376"/>
      <c r="E24" s="376"/>
      <c r="F24" s="376"/>
      <c r="G24" s="376"/>
      <c r="H24" s="376"/>
      <c r="I24" s="371">
        <v>173134</v>
      </c>
      <c r="J24" s="379"/>
    </row>
    <row r="25" spans="1:10" s="364" customFormat="1" ht="15">
      <c r="A25" s="380" t="s">
        <v>25</v>
      </c>
      <c r="B25" s="351" t="s">
        <v>300</v>
      </c>
      <c r="C25" s="376"/>
      <c r="D25" s="376"/>
      <c r="E25" s="376"/>
      <c r="F25" s="376"/>
      <c r="G25" s="376"/>
      <c r="H25" s="376"/>
      <c r="I25" s="371">
        <v>142302</v>
      </c>
      <c r="J25" s="379"/>
    </row>
    <row r="26" spans="1:10" s="446" customFormat="1" ht="45">
      <c r="A26" s="449">
        <v>6</v>
      </c>
      <c r="B26" s="444" t="s">
        <v>305</v>
      </c>
      <c r="C26" s="444"/>
      <c r="D26" s="444"/>
      <c r="E26" s="444"/>
      <c r="F26" s="444"/>
      <c r="G26" s="444"/>
      <c r="H26" s="477">
        <v>538123.48615384614</v>
      </c>
      <c r="I26" s="478">
        <f>SUM(I27:I29)</f>
        <v>565796</v>
      </c>
      <c r="J26" s="368" t="s">
        <v>590</v>
      </c>
    </row>
    <row r="27" spans="1:10" s="364" customFormat="1" ht="15">
      <c r="A27" s="380" t="s">
        <v>25</v>
      </c>
      <c r="B27" s="351" t="s">
        <v>540</v>
      </c>
      <c r="C27" s="376"/>
      <c r="D27" s="376"/>
      <c r="E27" s="376"/>
      <c r="F27" s="376"/>
      <c r="G27" s="376"/>
      <c r="H27" s="376"/>
      <c r="I27" s="371">
        <v>289075</v>
      </c>
      <c r="J27" s="379"/>
    </row>
    <row r="28" spans="1:10" s="364" customFormat="1" ht="15">
      <c r="A28" s="380" t="s">
        <v>25</v>
      </c>
      <c r="B28" s="351" t="s">
        <v>299</v>
      </c>
      <c r="C28" s="376"/>
      <c r="D28" s="376"/>
      <c r="E28" s="376"/>
      <c r="F28" s="376"/>
      <c r="G28" s="376"/>
      <c r="H28" s="376"/>
      <c r="I28" s="371">
        <v>128478</v>
      </c>
      <c r="J28" s="379"/>
    </row>
    <row r="29" spans="1:10" s="364" customFormat="1" ht="15">
      <c r="A29" s="380" t="s">
        <v>25</v>
      </c>
      <c r="B29" s="351" t="s">
        <v>300</v>
      </c>
      <c r="C29" s="376"/>
      <c r="D29" s="376"/>
      <c r="E29" s="376"/>
      <c r="F29" s="376"/>
      <c r="G29" s="376"/>
      <c r="H29" s="376"/>
      <c r="I29" s="371">
        <v>148243</v>
      </c>
      <c r="J29" s="379"/>
    </row>
    <row r="30" spans="1:10" s="446" customFormat="1" ht="45">
      <c r="A30" s="449">
        <v>7</v>
      </c>
      <c r="B30" s="444" t="s">
        <v>302</v>
      </c>
      <c r="C30" s="444"/>
      <c r="D30" s="444"/>
      <c r="E30" s="444"/>
      <c r="F30" s="444"/>
      <c r="G30" s="444"/>
      <c r="H30" s="477">
        <v>5800.0831578947373</v>
      </c>
      <c r="I30" s="478">
        <f>SUM(I31:I33)</f>
        <v>6444</v>
      </c>
      <c r="J30" s="368" t="s">
        <v>591</v>
      </c>
    </row>
    <row r="31" spans="1:10" s="364" customFormat="1" ht="15">
      <c r="A31" s="380" t="s">
        <v>25</v>
      </c>
      <c r="B31" s="351" t="s">
        <v>540</v>
      </c>
      <c r="C31" s="376"/>
      <c r="D31" s="376"/>
      <c r="E31" s="376"/>
      <c r="F31" s="376"/>
      <c r="G31" s="376"/>
      <c r="H31" s="376"/>
      <c r="I31" s="371">
        <v>4103</v>
      </c>
      <c r="J31" s="379"/>
    </row>
    <row r="32" spans="1:10" s="364" customFormat="1" ht="15">
      <c r="A32" s="380" t="s">
        <v>25</v>
      </c>
      <c r="B32" s="351" t="s">
        <v>299</v>
      </c>
      <c r="C32" s="376"/>
      <c r="D32" s="376"/>
      <c r="E32" s="376"/>
      <c r="F32" s="376"/>
      <c r="G32" s="376"/>
      <c r="H32" s="376"/>
      <c r="I32" s="371">
        <v>1134</v>
      </c>
      <c r="J32" s="379"/>
    </row>
    <row r="33" spans="1:10" s="364" customFormat="1" ht="15">
      <c r="A33" s="380" t="s">
        <v>25</v>
      </c>
      <c r="B33" s="351" t="s">
        <v>300</v>
      </c>
      <c r="C33" s="376"/>
      <c r="D33" s="376"/>
      <c r="E33" s="376"/>
      <c r="F33" s="376"/>
      <c r="G33" s="376"/>
      <c r="H33" s="376"/>
      <c r="I33" s="371">
        <v>1207</v>
      </c>
      <c r="J33" s="379"/>
    </row>
    <row r="34" spans="1:10" s="446" customFormat="1" ht="45">
      <c r="A34" s="449">
        <v>8</v>
      </c>
      <c r="B34" s="444" t="s">
        <v>303</v>
      </c>
      <c r="C34" s="444"/>
      <c r="D34" s="444"/>
      <c r="E34" s="444"/>
      <c r="F34" s="444"/>
      <c r="G34" s="444"/>
      <c r="H34" s="478">
        <v>14235.105000000001</v>
      </c>
      <c r="I34" s="478">
        <f>SUM(I35:I37)</f>
        <v>15817</v>
      </c>
      <c r="J34" s="368" t="s">
        <v>592</v>
      </c>
    </row>
    <row r="35" spans="1:10" s="364" customFormat="1" ht="15">
      <c r="A35" s="380" t="s">
        <v>25</v>
      </c>
      <c r="B35" s="351" t="s">
        <v>540</v>
      </c>
      <c r="C35" s="376"/>
      <c r="D35" s="376"/>
      <c r="E35" s="376"/>
      <c r="F35" s="376"/>
      <c r="G35" s="376"/>
      <c r="H35" s="376"/>
      <c r="I35" s="371">
        <v>10071</v>
      </c>
      <c r="J35" s="379"/>
    </row>
    <row r="36" spans="1:10" s="364" customFormat="1" ht="15">
      <c r="A36" s="380" t="s">
        <v>25</v>
      </c>
      <c r="B36" s="351" t="s">
        <v>299</v>
      </c>
      <c r="C36" s="376"/>
      <c r="D36" s="376"/>
      <c r="E36" s="376"/>
      <c r="F36" s="376"/>
      <c r="G36" s="376"/>
      <c r="H36" s="376"/>
      <c r="I36" s="371">
        <v>2784</v>
      </c>
      <c r="J36" s="379"/>
    </row>
    <row r="37" spans="1:10" s="364" customFormat="1" ht="15">
      <c r="A37" s="380" t="s">
        <v>25</v>
      </c>
      <c r="B37" s="351" t="s">
        <v>300</v>
      </c>
      <c r="C37" s="376"/>
      <c r="D37" s="376"/>
      <c r="E37" s="376"/>
      <c r="F37" s="376"/>
      <c r="G37" s="376"/>
      <c r="H37" s="376"/>
      <c r="I37" s="371">
        <v>2962</v>
      </c>
      <c r="J37" s="379"/>
    </row>
    <row r="38" spans="1:10" s="472" customFormat="1" ht="45">
      <c r="A38" s="479">
        <v>9</v>
      </c>
      <c r="B38" s="480" t="s">
        <v>304</v>
      </c>
      <c r="C38" s="480"/>
      <c r="D38" s="480"/>
      <c r="E38" s="480"/>
      <c r="F38" s="480"/>
      <c r="G38" s="480"/>
      <c r="H38" s="481">
        <v>35103.599999999999</v>
      </c>
      <c r="I38" s="481">
        <f>SUM(I39:I41)</f>
        <v>39004</v>
      </c>
      <c r="J38" s="395" t="s">
        <v>593</v>
      </c>
    </row>
    <row r="39" spans="1:10" s="364" customFormat="1" ht="15">
      <c r="A39" s="467" t="s">
        <v>642</v>
      </c>
      <c r="B39" s="463" t="s">
        <v>540</v>
      </c>
      <c r="C39" s="376"/>
      <c r="D39" s="376"/>
      <c r="E39" s="376"/>
      <c r="F39" s="376"/>
      <c r="G39" s="376"/>
      <c r="H39" s="466"/>
      <c r="I39" s="370">
        <v>24764</v>
      </c>
      <c r="J39" s="379"/>
    </row>
    <row r="40" spans="1:10" s="364" customFormat="1" ht="15">
      <c r="A40" s="380" t="s">
        <v>25</v>
      </c>
      <c r="B40" s="351" t="s">
        <v>299</v>
      </c>
      <c r="C40" s="376"/>
      <c r="D40" s="376"/>
      <c r="E40" s="376"/>
      <c r="F40" s="376"/>
      <c r="G40" s="376"/>
      <c r="H40" s="376"/>
      <c r="I40" s="371">
        <v>6501</v>
      </c>
      <c r="J40" s="379"/>
    </row>
    <row r="41" spans="1:10" s="364" customFormat="1" ht="15">
      <c r="A41" s="380" t="s">
        <v>25</v>
      </c>
      <c r="B41" s="351" t="s">
        <v>300</v>
      </c>
      <c r="C41" s="376"/>
      <c r="D41" s="376"/>
      <c r="E41" s="376"/>
      <c r="F41" s="376"/>
      <c r="G41" s="376"/>
      <c r="H41" s="376"/>
      <c r="I41" s="371">
        <v>7739</v>
      </c>
      <c r="J41" s="379"/>
    </row>
    <row r="42" spans="1:10" s="446" customFormat="1" ht="45">
      <c r="A42" s="449">
        <v>10</v>
      </c>
      <c r="B42" s="444" t="s">
        <v>395</v>
      </c>
      <c r="C42" s="444"/>
      <c r="D42" s="444"/>
      <c r="E42" s="444"/>
      <c r="F42" s="444"/>
      <c r="G42" s="444"/>
      <c r="H42" s="478">
        <v>18221.28</v>
      </c>
      <c r="I42" s="478">
        <f>SUM(I43:I45)</f>
        <v>20247</v>
      </c>
      <c r="J42" s="368" t="s">
        <v>597</v>
      </c>
    </row>
    <row r="43" spans="1:10" s="364" customFormat="1" ht="15">
      <c r="A43" s="380" t="s">
        <v>25</v>
      </c>
      <c r="B43" s="351" t="s">
        <v>540</v>
      </c>
      <c r="C43" s="376"/>
      <c r="D43" s="376"/>
      <c r="E43" s="376"/>
      <c r="F43" s="376"/>
      <c r="G43" s="376"/>
      <c r="H43" s="376"/>
      <c r="I43" s="371">
        <v>13147</v>
      </c>
      <c r="J43" s="379"/>
    </row>
    <row r="44" spans="1:10" s="364" customFormat="1" ht="15">
      <c r="A44" s="380" t="s">
        <v>25</v>
      </c>
      <c r="B44" s="351" t="s">
        <v>299</v>
      </c>
      <c r="C44" s="376"/>
      <c r="D44" s="376"/>
      <c r="E44" s="376"/>
      <c r="F44" s="376"/>
      <c r="G44" s="376"/>
      <c r="H44" s="376"/>
      <c r="I44" s="371">
        <v>3813</v>
      </c>
      <c r="J44" s="379"/>
    </row>
    <row r="45" spans="1:10" s="364" customFormat="1" ht="15">
      <c r="A45" s="380" t="s">
        <v>25</v>
      </c>
      <c r="B45" s="351" t="s">
        <v>300</v>
      </c>
      <c r="C45" s="376"/>
      <c r="D45" s="376"/>
      <c r="E45" s="376"/>
      <c r="F45" s="376"/>
      <c r="G45" s="376"/>
      <c r="H45" s="376"/>
      <c r="I45" s="371">
        <v>3287</v>
      </c>
      <c r="J45" s="379"/>
    </row>
    <row r="46" spans="1:10" s="446" customFormat="1" ht="45">
      <c r="A46" s="449">
        <v>11</v>
      </c>
      <c r="B46" s="444" t="s">
        <v>396</v>
      </c>
      <c r="C46" s="444"/>
      <c r="D46" s="444"/>
      <c r="E46" s="444"/>
      <c r="F46" s="444"/>
      <c r="G46" s="444"/>
      <c r="H46" s="445">
        <v>49144.031999999999</v>
      </c>
      <c r="I46" s="478">
        <f>SUM(I47:I49)</f>
        <v>54604</v>
      </c>
      <c r="J46" s="368" t="s">
        <v>594</v>
      </c>
    </row>
    <row r="47" spans="1:10" s="364" customFormat="1" ht="15">
      <c r="A47" s="380" t="s">
        <v>25</v>
      </c>
      <c r="B47" s="351" t="s">
        <v>540</v>
      </c>
      <c r="C47" s="376"/>
      <c r="D47" s="376"/>
      <c r="E47" s="376"/>
      <c r="F47" s="376"/>
      <c r="G47" s="376"/>
      <c r="H47" s="376"/>
      <c r="I47" s="371">
        <v>35924</v>
      </c>
      <c r="J47" s="379"/>
    </row>
    <row r="48" spans="1:10" s="364" customFormat="1" ht="15">
      <c r="A48" s="380" t="s">
        <v>25</v>
      </c>
      <c r="B48" s="351" t="s">
        <v>299</v>
      </c>
      <c r="C48" s="376"/>
      <c r="D48" s="376"/>
      <c r="E48" s="376"/>
      <c r="F48" s="376"/>
      <c r="G48" s="376"/>
      <c r="H48" s="376"/>
      <c r="I48" s="371">
        <v>9699</v>
      </c>
      <c r="J48" s="379"/>
    </row>
    <row r="49" spans="1:10" s="364" customFormat="1" ht="15">
      <c r="A49" s="380" t="s">
        <v>25</v>
      </c>
      <c r="B49" s="351" t="s">
        <v>300</v>
      </c>
      <c r="C49" s="376"/>
      <c r="D49" s="376"/>
      <c r="E49" s="376"/>
      <c r="F49" s="376"/>
      <c r="G49" s="376"/>
      <c r="H49" s="376"/>
      <c r="I49" s="371">
        <v>8981</v>
      </c>
      <c r="J49" s="379"/>
    </row>
    <row r="50" spans="1:10" s="446" customFormat="1" ht="45">
      <c r="A50" s="449">
        <v>12</v>
      </c>
      <c r="B50" s="444" t="s">
        <v>397</v>
      </c>
      <c r="C50" s="444"/>
      <c r="D50" s="444"/>
      <c r="E50" s="444"/>
      <c r="F50" s="444"/>
      <c r="G50" s="444"/>
      <c r="H50" s="445">
        <v>14039.568000000001</v>
      </c>
      <c r="I50" s="478">
        <f>SUM(I51:I53)</f>
        <v>15600</v>
      </c>
      <c r="J50" s="368" t="s">
        <v>595</v>
      </c>
    </row>
    <row r="51" spans="1:10" s="364" customFormat="1" ht="15">
      <c r="A51" s="380" t="s">
        <v>25</v>
      </c>
      <c r="B51" s="351" t="s">
        <v>540</v>
      </c>
      <c r="C51" s="376"/>
      <c r="D51" s="376"/>
      <c r="E51" s="376"/>
      <c r="F51" s="376"/>
      <c r="G51" s="376"/>
      <c r="H51" s="376"/>
      <c r="I51" s="371">
        <v>10930</v>
      </c>
      <c r="J51" s="379"/>
    </row>
    <row r="52" spans="1:10" s="364" customFormat="1" ht="15">
      <c r="A52" s="380" t="s">
        <v>25</v>
      </c>
      <c r="B52" s="351" t="s">
        <v>299</v>
      </c>
      <c r="C52" s="376"/>
      <c r="D52" s="376"/>
      <c r="E52" s="376"/>
      <c r="F52" s="376"/>
      <c r="G52" s="376"/>
      <c r="H52" s="376"/>
      <c r="I52" s="371">
        <v>2683</v>
      </c>
      <c r="J52" s="379"/>
    </row>
    <row r="53" spans="1:10" s="364" customFormat="1" ht="15">
      <c r="A53" s="380" t="s">
        <v>25</v>
      </c>
      <c r="B53" s="351" t="s">
        <v>300</v>
      </c>
      <c r="C53" s="376"/>
      <c r="D53" s="376"/>
      <c r="E53" s="376"/>
      <c r="F53" s="376"/>
      <c r="G53" s="376"/>
      <c r="H53" s="376"/>
      <c r="I53" s="371">
        <v>1987</v>
      </c>
      <c r="J53" s="379"/>
    </row>
  </sheetData>
  <mergeCells count="9">
    <mergeCell ref="A4:A5"/>
    <mergeCell ref="A1:J1"/>
    <mergeCell ref="J4:J5"/>
    <mergeCell ref="B4:B5"/>
    <mergeCell ref="A2:J2"/>
    <mergeCell ref="H4:I4"/>
    <mergeCell ref="F4:G4"/>
    <mergeCell ref="D4:D5"/>
    <mergeCell ref="E4:E5"/>
  </mergeCells>
  <phoneticPr fontId="21" type="noConversion"/>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110" zoomScaleNormal="110" workbookViewId="0">
      <selection activeCell="I18" sqref="I18"/>
    </sheetView>
  </sheetViews>
  <sheetFormatPr defaultRowHeight="14.25"/>
  <cols>
    <col min="1" max="1" width="5.125" bestFit="1" customWidth="1"/>
    <col min="2" max="2" width="52.875" customWidth="1"/>
    <col min="3" max="3" width="7.5" bestFit="1" customWidth="1"/>
    <col min="4" max="4" width="14.625" bestFit="1" customWidth="1"/>
    <col min="5" max="5" width="16.375" customWidth="1"/>
    <col min="6" max="6" width="11" customWidth="1"/>
    <col min="7" max="7" width="18.75" customWidth="1"/>
    <col min="8" max="8" width="25.25" customWidth="1"/>
  </cols>
  <sheetData>
    <row r="1" spans="1:8" ht="19.5" customHeight="1">
      <c r="A1" s="689" t="s">
        <v>718</v>
      </c>
      <c r="B1" s="689"/>
      <c r="C1" s="689"/>
      <c r="D1" s="689"/>
      <c r="E1" s="689"/>
      <c r="F1" s="689"/>
      <c r="G1" s="689"/>
      <c r="H1" s="689"/>
    </row>
    <row r="2" spans="1:8" ht="15.75" customHeight="1">
      <c r="A2" s="689" t="s">
        <v>524</v>
      </c>
      <c r="B2" s="689"/>
      <c r="C2" s="689"/>
      <c r="D2" s="689"/>
      <c r="E2" s="689"/>
      <c r="F2" s="689"/>
      <c r="G2" s="689"/>
      <c r="H2" s="689"/>
    </row>
    <row r="3" spans="1:8" ht="15.75" customHeight="1">
      <c r="A3" s="239"/>
      <c r="B3" s="239"/>
      <c r="C3" s="239"/>
      <c r="D3" s="239"/>
      <c r="E3" s="239"/>
      <c r="F3" s="239"/>
      <c r="G3" s="316"/>
      <c r="H3" s="316"/>
    </row>
    <row r="4" spans="1:8" ht="15.75" customHeight="1">
      <c r="A4" s="695" t="s">
        <v>0</v>
      </c>
      <c r="B4" s="695" t="s">
        <v>44</v>
      </c>
      <c r="C4" s="695" t="s">
        <v>1</v>
      </c>
      <c r="D4" s="695" t="s">
        <v>646</v>
      </c>
      <c r="E4" s="695"/>
      <c r="F4" s="695"/>
      <c r="G4" s="450" t="s">
        <v>350</v>
      </c>
      <c r="H4" s="695" t="s">
        <v>40</v>
      </c>
    </row>
    <row r="5" spans="1:8" ht="47.25">
      <c r="A5" s="695"/>
      <c r="B5" s="695"/>
      <c r="C5" s="695"/>
      <c r="D5" s="79" t="s">
        <v>424</v>
      </c>
      <c r="E5" s="79" t="s">
        <v>515</v>
      </c>
      <c r="F5" s="79" t="s">
        <v>312</v>
      </c>
      <c r="G5" s="79" t="s">
        <v>312</v>
      </c>
      <c r="H5" s="695"/>
    </row>
    <row r="6" spans="1:8" ht="15.75">
      <c r="A6" s="217">
        <v>1</v>
      </c>
      <c r="B6" s="206" t="s">
        <v>307</v>
      </c>
      <c r="C6" s="207" t="s">
        <v>311</v>
      </c>
      <c r="D6" s="317">
        <v>1100062417</v>
      </c>
      <c r="E6" s="84"/>
      <c r="F6" s="84"/>
      <c r="G6" s="84"/>
      <c r="H6" s="331"/>
    </row>
    <row r="7" spans="1:8" ht="15.75">
      <c r="A7" s="217">
        <v>2</v>
      </c>
      <c r="B7" s="206" t="s">
        <v>308</v>
      </c>
      <c r="C7" s="207" t="s">
        <v>311</v>
      </c>
      <c r="D7" s="317">
        <v>412497192</v>
      </c>
      <c r="E7" s="84"/>
      <c r="F7" s="84"/>
      <c r="G7" s="84"/>
      <c r="H7" s="84"/>
    </row>
    <row r="8" spans="1:8" ht="30" customHeight="1">
      <c r="A8" s="217">
        <v>3</v>
      </c>
      <c r="B8" s="206" t="s">
        <v>309</v>
      </c>
      <c r="C8" s="207" t="s">
        <v>311</v>
      </c>
      <c r="D8" s="317">
        <v>0</v>
      </c>
      <c r="E8" s="84"/>
      <c r="F8" s="84"/>
      <c r="G8" s="84"/>
      <c r="H8" s="84"/>
    </row>
    <row r="9" spans="1:8" ht="53.25" customHeight="1">
      <c r="A9" s="217">
        <v>4</v>
      </c>
      <c r="B9" s="206" t="s">
        <v>482</v>
      </c>
      <c r="C9" s="207" t="s">
        <v>311</v>
      </c>
      <c r="D9" s="317">
        <f>2930767964-1369645377</f>
        <v>1561122587</v>
      </c>
      <c r="E9" s="84"/>
      <c r="F9" s="84"/>
      <c r="G9" s="84"/>
      <c r="H9" s="84"/>
    </row>
    <row r="10" spans="1:8" ht="15.75">
      <c r="A10" s="217">
        <v>5</v>
      </c>
      <c r="B10" s="206" t="s">
        <v>310</v>
      </c>
      <c r="C10" s="207" t="s">
        <v>311</v>
      </c>
      <c r="D10" s="317">
        <v>163502961</v>
      </c>
      <c r="E10" s="84"/>
      <c r="F10" s="84"/>
      <c r="G10" s="84"/>
      <c r="H10" s="84"/>
    </row>
    <row r="11" spans="1:8" s="56" customFormat="1" ht="15.75">
      <c r="A11" s="492"/>
      <c r="B11" s="493" t="s">
        <v>664</v>
      </c>
      <c r="C11" s="218" t="s">
        <v>311</v>
      </c>
      <c r="D11" s="494">
        <f>D6+D7+D8+D9+D10</f>
        <v>3237185157</v>
      </c>
      <c r="E11" s="495">
        <v>405512.05</v>
      </c>
      <c r="F11" s="495">
        <f>D11/E11</f>
        <v>7982.9567506070416</v>
      </c>
      <c r="G11" s="495">
        <f>'VII.2 Chi phí sxc theo TT 17'!M9</f>
        <v>808.03100972546702</v>
      </c>
      <c r="H11" s="573" t="s">
        <v>719</v>
      </c>
    </row>
  </sheetData>
  <mergeCells count="7">
    <mergeCell ref="A2:H2"/>
    <mergeCell ref="A1:H1"/>
    <mergeCell ref="A4:A5"/>
    <mergeCell ref="H4:H5"/>
    <mergeCell ref="D4:F4"/>
    <mergeCell ref="C4:C5"/>
    <mergeCell ref="B4:B5"/>
  </mergeCells>
  <phoneticPr fontId="2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E13" sqref="E13"/>
    </sheetView>
  </sheetViews>
  <sheetFormatPr defaultRowHeight="15.75"/>
  <cols>
    <col min="1" max="1" width="6.5" style="146" customWidth="1"/>
    <col min="2" max="2" width="39.75" style="144" customWidth="1"/>
    <col min="3" max="3" width="9" style="145"/>
    <col min="4" max="4" width="14.75" style="145" customWidth="1"/>
    <col min="5" max="5" width="13.375" style="145" customWidth="1"/>
    <col min="6" max="7" width="9" style="145"/>
    <col min="8" max="16384" width="9" style="146"/>
  </cols>
  <sheetData>
    <row r="2" spans="1:6" ht="43.15" customHeight="1">
      <c r="A2" s="150" t="s">
        <v>0</v>
      </c>
      <c r="B2" s="150" t="s">
        <v>347</v>
      </c>
      <c r="C2" s="150" t="s">
        <v>345</v>
      </c>
      <c r="D2" s="153" t="s">
        <v>344</v>
      </c>
      <c r="E2" s="153" t="s">
        <v>346</v>
      </c>
    </row>
    <row r="3" spans="1:6" ht="47.25">
      <c r="A3" s="150">
        <v>1</v>
      </c>
      <c r="B3" s="151" t="s">
        <v>342</v>
      </c>
      <c r="C3" s="152">
        <v>119000</v>
      </c>
      <c r="D3" s="149">
        <v>2020</v>
      </c>
      <c r="E3" s="154">
        <f>C3/$C$9</f>
        <v>1.602199554684433</v>
      </c>
      <c r="F3" s="155">
        <f>E3-1</f>
        <v>0.60219955468443298</v>
      </c>
    </row>
    <row r="4" spans="1:6" ht="31.5">
      <c r="A4" s="150">
        <v>2</v>
      </c>
      <c r="B4" s="151" t="s">
        <v>341</v>
      </c>
      <c r="C4" s="152">
        <v>92300</v>
      </c>
      <c r="D4" s="149">
        <v>2016</v>
      </c>
      <c r="E4" s="154">
        <f t="shared" ref="E4:E6" si="0">C4/$C$9</f>
        <v>1.2427144445157408</v>
      </c>
      <c r="F4" s="155">
        <f t="shared" ref="F4:F6" si="1">E4-1</f>
        <v>0.24271444451574076</v>
      </c>
    </row>
    <row r="5" spans="1:6" ht="47.25">
      <c r="A5" s="150">
        <v>3</v>
      </c>
      <c r="B5" s="151" t="s">
        <v>340</v>
      </c>
      <c r="C5" s="152">
        <v>84368</v>
      </c>
      <c r="D5" s="149">
        <v>2015</v>
      </c>
      <c r="E5" s="154">
        <f t="shared" si="0"/>
        <v>1.1359190926858507</v>
      </c>
      <c r="F5" s="155">
        <f t="shared" si="1"/>
        <v>0.13591909268585067</v>
      </c>
    </row>
    <row r="6" spans="1:6" ht="47.25">
      <c r="A6" s="150">
        <v>4</v>
      </c>
      <c r="B6" s="151" t="s">
        <v>339</v>
      </c>
      <c r="C6" s="152">
        <v>92689</v>
      </c>
      <c r="D6" s="149">
        <v>2023</v>
      </c>
      <c r="E6" s="154">
        <f t="shared" si="0"/>
        <v>1.2479518867575243</v>
      </c>
      <c r="F6" s="155">
        <f t="shared" si="1"/>
        <v>0.24795188675752433</v>
      </c>
    </row>
    <row r="7" spans="1:6">
      <c r="C7" s="148">
        <v>64255</v>
      </c>
      <c r="D7" s="144"/>
    </row>
    <row r="8" spans="1:6">
      <c r="C8" s="144"/>
      <c r="D8" s="144"/>
    </row>
    <row r="9" spans="1:6">
      <c r="B9" s="147" t="s">
        <v>343</v>
      </c>
      <c r="C9" s="148">
        <f>'I. Tong chi phi'!F23</f>
        <v>74272.895440567067</v>
      </c>
      <c r="D9" s="144">
        <v>2025</v>
      </c>
    </row>
    <row r="10" spans="1:6">
      <c r="C10" s="156" t="e">
        <f>'I. Tong chi phi'!#REF!</f>
        <v>#REF!</v>
      </c>
      <c r="E10" s="154" t="e">
        <f>C10/C7</f>
        <v>#REF!</v>
      </c>
      <c r="F10" s="155" t="e">
        <f t="shared" ref="F10" si="2">E10-1</f>
        <v>#REF!</v>
      </c>
    </row>
    <row r="12" spans="1:6">
      <c r="C12" s="145">
        <v>150000</v>
      </c>
      <c r="D12" s="156" t="e">
        <f>'II.1 Vat tu'!#REF!</f>
        <v>#REF!</v>
      </c>
      <c r="E12" s="154" t="e">
        <f>D12/C12</f>
        <v>#REF!</v>
      </c>
      <c r="F12" s="155" t="e">
        <f t="shared" ref="F12" si="3">E12-1</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D5" sqref="D5"/>
    </sheetView>
  </sheetViews>
  <sheetFormatPr defaultRowHeight="14.25"/>
  <cols>
    <col min="1" max="1" width="5.125" bestFit="1" customWidth="1"/>
    <col min="2" max="2" width="37.125" customWidth="1"/>
    <col min="3" max="3" width="7.125" bestFit="1" customWidth="1"/>
    <col min="4" max="4" width="14.625" customWidth="1"/>
    <col min="5" max="5" width="10.5" customWidth="1"/>
    <col min="6" max="6" width="12.375" customWidth="1"/>
    <col min="7" max="7" width="17.125" bestFit="1" customWidth="1"/>
    <col min="8" max="8" width="13.5" customWidth="1"/>
  </cols>
  <sheetData>
    <row r="1" spans="1:8" ht="30" customHeight="1">
      <c r="A1" s="585"/>
      <c r="B1" s="591"/>
      <c r="C1" s="591"/>
      <c r="D1" s="591"/>
      <c r="E1" s="591"/>
      <c r="F1" s="591"/>
      <c r="G1" s="591"/>
      <c r="H1" s="591"/>
    </row>
    <row r="2" spans="1:8" ht="39.4" customHeight="1">
      <c r="A2" s="585" t="s">
        <v>318</v>
      </c>
      <c r="B2" s="591"/>
      <c r="C2" s="591"/>
      <c r="D2" s="591"/>
      <c r="E2" s="591"/>
      <c r="F2" s="591"/>
      <c r="G2" s="591"/>
      <c r="H2" s="591"/>
    </row>
    <row r="3" spans="1:8">
      <c r="A3" s="592"/>
      <c r="B3" s="592"/>
      <c r="C3" s="592"/>
      <c r="D3" s="592"/>
      <c r="E3" s="592"/>
      <c r="F3" s="592"/>
      <c r="G3" s="592"/>
      <c r="H3" s="592"/>
    </row>
    <row r="4" spans="1:8" ht="76.5" customHeight="1">
      <c r="A4" s="5" t="s">
        <v>0</v>
      </c>
      <c r="B4" s="5" t="s">
        <v>36</v>
      </c>
      <c r="C4" s="5" t="s">
        <v>1</v>
      </c>
      <c r="D4" s="5" t="s">
        <v>291</v>
      </c>
      <c r="E4" s="5" t="s">
        <v>46</v>
      </c>
      <c r="F4" s="5" t="str">
        <f>"Đơn giá_x000D_
"&amp;'[1]Công trình'!AM1</f>
        <v>Đơn giá_x000D_
(đ)</v>
      </c>
      <c r="G4" s="5" t="s">
        <v>39</v>
      </c>
      <c r="H4" s="5" t="s">
        <v>40</v>
      </c>
    </row>
    <row r="5" spans="1:8" ht="28.5">
      <c r="A5" s="5">
        <f>'[1]Công trình'!A7</f>
        <v>1</v>
      </c>
      <c r="B5" s="4" t="s">
        <v>202</v>
      </c>
      <c r="C5" s="5"/>
      <c r="D5" s="4"/>
      <c r="E5" s="17"/>
      <c r="F5" s="6"/>
      <c r="G5" s="5"/>
      <c r="H5" s="6"/>
    </row>
    <row r="6" spans="1:8" ht="15">
      <c r="A6" s="133" t="s">
        <v>41</v>
      </c>
      <c r="B6" s="132" t="s">
        <v>52</v>
      </c>
      <c r="C6" s="5" t="s">
        <v>185</v>
      </c>
      <c r="D6" s="4">
        <v>1</v>
      </c>
      <c r="E6" s="17">
        <f>(1611+1755)/2*367</f>
        <v>617661</v>
      </c>
      <c r="F6" s="140" t="e">
        <f>G6/E6</f>
        <v>#REF!</v>
      </c>
      <c r="G6" s="136" t="e">
        <f>G7+G8+G9+G10</f>
        <v>#REF!</v>
      </c>
      <c r="H6" s="137"/>
    </row>
    <row r="7" spans="1:8" ht="15">
      <c r="A7" s="133" t="s">
        <v>335</v>
      </c>
      <c r="B7" s="132" t="s">
        <v>53</v>
      </c>
      <c r="C7" s="134"/>
      <c r="D7" s="4">
        <v>1</v>
      </c>
      <c r="E7" s="140">
        <f>E6</f>
        <v>617661</v>
      </c>
      <c r="F7" s="140">
        <f>'II.1 Vat tu'!C10</f>
        <v>28668.818744233387</v>
      </c>
      <c r="G7" s="136" t="e">
        <f>'II.1 Vat tu'!#REF!</f>
        <v>#REF!</v>
      </c>
      <c r="H7" s="137"/>
    </row>
    <row r="8" spans="1:8" ht="15">
      <c r="A8" s="133" t="s">
        <v>336</v>
      </c>
      <c r="B8" s="132" t="s">
        <v>203</v>
      </c>
      <c r="C8" s="138"/>
      <c r="D8" s="4">
        <v>1</v>
      </c>
      <c r="E8" s="140">
        <f t="shared" ref="E8:E10" si="0">E7</f>
        <v>617661</v>
      </c>
      <c r="F8" s="139" t="e">
        <f>'II.5 NL'!#REF!</f>
        <v>#REF!</v>
      </c>
      <c r="G8" s="136" t="e">
        <f>'II.5 NL'!#REF!</f>
        <v>#REF!</v>
      </c>
      <c r="H8" s="135"/>
    </row>
    <row r="9" spans="1:8" ht="15">
      <c r="A9" s="133" t="s">
        <v>337</v>
      </c>
      <c r="B9" s="132" t="s">
        <v>204</v>
      </c>
      <c r="C9" s="138"/>
      <c r="D9" s="4">
        <v>1</v>
      </c>
      <c r="E9" s="140">
        <f t="shared" si="0"/>
        <v>617661</v>
      </c>
      <c r="F9" s="139" t="e">
        <f>'II.5 NL'!#REF!</f>
        <v>#REF!</v>
      </c>
      <c r="G9" s="136" t="e">
        <f>'II.5 NL'!#REF!</f>
        <v>#REF!</v>
      </c>
      <c r="H9" s="135"/>
    </row>
    <row r="10" spans="1:8" ht="15">
      <c r="A10" s="133" t="s">
        <v>338</v>
      </c>
      <c r="B10" s="72" t="s">
        <v>54</v>
      </c>
      <c r="C10" s="138"/>
      <c r="D10" s="4">
        <v>1</v>
      </c>
      <c r="E10" s="140">
        <f t="shared" si="0"/>
        <v>617661</v>
      </c>
      <c r="F10" s="139" t="e">
        <f>'II.2 DCLD'!#REF!</f>
        <v>#REF!</v>
      </c>
      <c r="G10" s="136" t="e">
        <f>'II.2 DCLD'!#REF!</f>
        <v>#REF!</v>
      </c>
      <c r="H10" s="135"/>
    </row>
    <row r="11" spans="1:8" ht="15">
      <c r="A11" s="18"/>
      <c r="B11" s="7"/>
      <c r="C11" s="57"/>
      <c r="D11" s="19"/>
      <c r="E11" s="20"/>
      <c r="F11" s="53"/>
      <c r="G11" s="21"/>
      <c r="H11" s="9"/>
    </row>
  </sheetData>
  <mergeCells count="3">
    <mergeCell ref="A1:H1"/>
    <mergeCell ref="A2:H2"/>
    <mergeCell ref="A3:H3"/>
  </mergeCells>
  <phoneticPr fontId="21"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Normal="100" workbookViewId="0">
      <selection activeCell="N6" sqref="N6:N9"/>
    </sheetView>
  </sheetViews>
  <sheetFormatPr defaultRowHeight="14.25"/>
  <cols>
    <col min="1" max="1" width="5.125" bestFit="1" customWidth="1"/>
    <col min="2" max="2" width="23" customWidth="1"/>
    <col min="3" max="3" width="10.375" customWidth="1"/>
    <col min="4" max="4" width="8.125" customWidth="1"/>
    <col min="5" max="5" width="9.25" customWidth="1"/>
    <col min="6" max="6" width="9.125" customWidth="1"/>
    <col min="7" max="7" width="9.25" customWidth="1"/>
    <col min="8" max="8" width="10.75" customWidth="1"/>
    <col min="9" max="9" width="10.375" customWidth="1"/>
    <col min="10" max="10" width="9.875" customWidth="1"/>
    <col min="11" max="11" width="14.375" customWidth="1"/>
    <col min="12" max="12" width="13.375" customWidth="1"/>
    <col min="13" max="13" width="17.5" customWidth="1"/>
    <col min="14" max="14" width="25.25" customWidth="1"/>
  </cols>
  <sheetData>
    <row r="1" spans="1:14" ht="19.5" customHeight="1">
      <c r="A1" s="689" t="s">
        <v>516</v>
      </c>
      <c r="B1" s="689"/>
      <c r="C1" s="689"/>
      <c r="D1" s="689"/>
      <c r="E1" s="689"/>
      <c r="F1" s="689"/>
      <c r="G1" s="689"/>
      <c r="H1" s="689"/>
      <c r="I1" s="689"/>
      <c r="J1" s="689"/>
      <c r="K1" s="689"/>
      <c r="L1" s="689"/>
    </row>
    <row r="2" spans="1:14" ht="15.75" customHeight="1">
      <c r="A2" s="689" t="s">
        <v>720</v>
      </c>
      <c r="B2" s="689"/>
      <c r="C2" s="689"/>
      <c r="D2" s="689"/>
      <c r="E2" s="689"/>
      <c r="F2" s="689"/>
      <c r="G2" s="689"/>
      <c r="H2" s="689"/>
      <c r="I2" s="689"/>
      <c r="J2" s="689"/>
      <c r="K2" s="689"/>
      <c r="L2" s="689"/>
    </row>
    <row r="3" spans="1:14" ht="15.75" customHeight="1">
      <c r="A3" s="253"/>
      <c r="B3" s="253"/>
      <c r="C3" s="253"/>
      <c r="D3" s="253"/>
      <c r="E3" s="253"/>
      <c r="F3" s="253"/>
      <c r="G3" s="253"/>
      <c r="H3" s="316"/>
    </row>
    <row r="4" spans="1:14" ht="69.75" customHeight="1">
      <c r="A4" s="250" t="s">
        <v>0</v>
      </c>
      <c r="B4" s="251" t="s">
        <v>18</v>
      </c>
      <c r="C4" s="251" t="str">
        <f>'IV. ĐG NC'!C4:C5</f>
        <v>Nhóm, cấp bậc</v>
      </c>
      <c r="D4" s="251" t="s">
        <v>518</v>
      </c>
      <c r="E4" s="249" t="s">
        <v>380</v>
      </c>
      <c r="F4" s="252" t="s">
        <v>661</v>
      </c>
      <c r="G4" s="252" t="s">
        <v>519</v>
      </c>
      <c r="H4" s="249" t="s">
        <v>371</v>
      </c>
      <c r="I4" s="249" t="s">
        <v>368</v>
      </c>
      <c r="J4" s="247" t="s">
        <v>296</v>
      </c>
      <c r="K4" s="248" t="s">
        <v>372</v>
      </c>
      <c r="L4" s="249" t="s">
        <v>522</v>
      </c>
      <c r="M4" s="249" t="s">
        <v>525</v>
      </c>
      <c r="N4" s="572" t="s">
        <v>40</v>
      </c>
    </row>
    <row r="5" spans="1:14" s="56" customFormat="1" ht="33.75" customHeight="1">
      <c r="A5" s="193" t="s">
        <v>358</v>
      </c>
      <c r="B5" s="193" t="s">
        <v>359</v>
      </c>
      <c r="C5" s="193" t="s">
        <v>360</v>
      </c>
      <c r="D5" s="193" t="s">
        <v>361</v>
      </c>
      <c r="E5" s="193" t="s">
        <v>362</v>
      </c>
      <c r="F5" s="194" t="s">
        <v>363</v>
      </c>
      <c r="G5" s="193" t="s">
        <v>364</v>
      </c>
      <c r="H5" s="194" t="s">
        <v>365</v>
      </c>
      <c r="I5" s="194" t="s">
        <v>366</v>
      </c>
      <c r="J5" s="194" t="s">
        <v>480</v>
      </c>
      <c r="K5" s="194" t="s">
        <v>663</v>
      </c>
      <c r="L5" s="194" t="s">
        <v>523</v>
      </c>
      <c r="M5" s="194" t="s">
        <v>526</v>
      </c>
      <c r="N5" s="574" t="s">
        <v>721</v>
      </c>
    </row>
    <row r="6" spans="1:14" ht="15">
      <c r="A6" s="38">
        <v>1</v>
      </c>
      <c r="B6" s="7" t="s">
        <v>517</v>
      </c>
      <c r="C6" s="491" t="s">
        <v>520</v>
      </c>
      <c r="D6" s="8">
        <v>4</v>
      </c>
      <c r="E6" s="187">
        <v>1.65</v>
      </c>
      <c r="F6" s="38">
        <v>0</v>
      </c>
      <c r="G6" s="38">
        <v>0</v>
      </c>
      <c r="H6" s="188">
        <v>2340000</v>
      </c>
      <c r="I6" s="189">
        <v>0.55000000000000004</v>
      </c>
      <c r="J6" s="196">
        <f>25000*26</f>
        <v>650000</v>
      </c>
      <c r="K6" s="196">
        <f>E6*H6*23.5%</f>
        <v>907335</v>
      </c>
      <c r="L6" s="9">
        <f>((E6+F6+G6)*H6*(1+I6)+J6+K6)*D6</f>
        <v>30167540</v>
      </c>
      <c r="M6" s="9">
        <f>L6*12</f>
        <v>362010480</v>
      </c>
      <c r="N6" s="696" t="s">
        <v>733</v>
      </c>
    </row>
    <row r="7" spans="1:14" ht="15">
      <c r="A7" s="38">
        <v>2</v>
      </c>
      <c r="B7" s="7" t="s">
        <v>662</v>
      </c>
      <c r="C7" s="491" t="str">
        <f>'IV. ĐG NC'!C8</f>
        <v>NC III.IV</v>
      </c>
      <c r="D7" s="8">
        <v>1</v>
      </c>
      <c r="E7" s="187">
        <f>'IV. ĐG NC'!D8</f>
        <v>2.92</v>
      </c>
      <c r="F7" s="38">
        <v>0</v>
      </c>
      <c r="G7" s="349">
        <v>0.1</v>
      </c>
      <c r="H7" s="188">
        <v>2340000</v>
      </c>
      <c r="I7" s="189">
        <v>0.55000000000000004</v>
      </c>
      <c r="J7" s="196">
        <f t="shared" ref="J7" si="0">25000*26</f>
        <v>650000</v>
      </c>
      <c r="K7" s="196">
        <f>E7*H7*23.5%</f>
        <v>1605708</v>
      </c>
      <c r="L7" s="9">
        <f>((E7+F7+G7)*H7*(1+I7)+J7+K7)*D7</f>
        <v>13209248</v>
      </c>
      <c r="M7" s="9">
        <f>L7*12</f>
        <v>158510976</v>
      </c>
      <c r="N7" s="697"/>
    </row>
    <row r="8" spans="1:14" s="143" customFormat="1" ht="30">
      <c r="A8" s="38"/>
      <c r="B8" s="7" t="s">
        <v>527</v>
      </c>
      <c r="C8" s="7"/>
      <c r="D8" s="7"/>
      <c r="E8" s="187"/>
      <c r="F8" s="38"/>
      <c r="G8" s="38"/>
      <c r="H8" s="188"/>
      <c r="I8" s="189"/>
      <c r="J8" s="196"/>
      <c r="K8" s="196"/>
      <c r="L8" s="9"/>
      <c r="M8" s="9">
        <f>M6+M7</f>
        <v>520521456</v>
      </c>
      <c r="N8" s="697"/>
    </row>
    <row r="9" spans="1:14" ht="28.5">
      <c r="A9" s="36"/>
      <c r="B9" s="4" t="s">
        <v>528</v>
      </c>
      <c r="C9" s="4"/>
      <c r="D9" s="4"/>
      <c r="E9" s="197"/>
      <c r="F9" s="36"/>
      <c r="G9" s="36"/>
      <c r="H9" s="199"/>
      <c r="I9" s="200"/>
      <c r="J9" s="201"/>
      <c r="K9" s="201"/>
      <c r="L9" s="6"/>
      <c r="M9" s="6">
        <f>M8/'VIII.KL rác hoc 7'!D14</f>
        <v>808.03100972546702</v>
      </c>
      <c r="N9" s="698"/>
    </row>
  </sheetData>
  <mergeCells count="3">
    <mergeCell ref="A1:L1"/>
    <mergeCell ref="A2:L2"/>
    <mergeCell ref="N6:N9"/>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B1" workbookViewId="0">
      <selection activeCell="F5" sqref="F5:F17"/>
    </sheetView>
  </sheetViews>
  <sheetFormatPr defaultRowHeight="14.25"/>
  <cols>
    <col min="1" max="1" width="0" hidden="1" customWidth="1"/>
    <col min="2" max="2" width="4.75" customWidth="1"/>
    <col min="3" max="3" width="28.5" customWidth="1"/>
    <col min="4" max="4" width="13.5" customWidth="1"/>
    <col min="5" max="5" width="15" bestFit="1" customWidth="1"/>
    <col min="6" max="6" width="63.75" customWidth="1"/>
  </cols>
  <sheetData>
    <row r="1" spans="1:6" ht="18.75">
      <c r="A1" s="702" t="s">
        <v>484</v>
      </c>
      <c r="B1" s="702"/>
      <c r="C1" s="702"/>
      <c r="D1" s="702"/>
      <c r="E1" s="702"/>
      <c r="F1" s="702"/>
    </row>
    <row r="2" spans="1:6" ht="18.75">
      <c r="A2" s="703" t="s">
        <v>485</v>
      </c>
      <c r="B2" s="703"/>
      <c r="C2" s="703"/>
      <c r="D2" s="703"/>
      <c r="E2" s="703"/>
      <c r="F2" s="703"/>
    </row>
    <row r="3" spans="1:6" ht="15">
      <c r="A3" s="324"/>
      <c r="B3" s="324"/>
      <c r="C3" s="324"/>
      <c r="D3" s="325"/>
      <c r="E3" s="325"/>
      <c r="F3" s="326"/>
    </row>
    <row r="4" spans="1:6">
      <c r="A4" s="307" t="s">
        <v>19</v>
      </c>
      <c r="B4" s="307" t="s">
        <v>19</v>
      </c>
      <c r="C4" s="308" t="str">
        <f>+'[5]PL2-ĐM&amp;ĐG vat tu'!C6:C6</f>
        <v>Nội dung chi phí</v>
      </c>
      <c r="D4" s="308" t="s">
        <v>244</v>
      </c>
      <c r="E4" s="308" t="s">
        <v>498</v>
      </c>
      <c r="F4" s="308" t="s">
        <v>40</v>
      </c>
    </row>
    <row r="5" spans="1:6" ht="15" customHeight="1">
      <c r="A5" s="306"/>
      <c r="B5" s="309">
        <v>1</v>
      </c>
      <c r="C5" s="89" t="s">
        <v>486</v>
      </c>
      <c r="D5" s="327" t="s">
        <v>144</v>
      </c>
      <c r="E5" s="330">
        <v>34436.269999999997</v>
      </c>
      <c r="F5" s="699" t="s">
        <v>499</v>
      </c>
    </row>
    <row r="6" spans="1:6" ht="15">
      <c r="A6" s="306"/>
      <c r="B6" s="309">
        <v>2</v>
      </c>
      <c r="C6" s="89" t="s">
        <v>487</v>
      </c>
      <c r="D6" s="327" t="s">
        <v>144</v>
      </c>
      <c r="E6" s="330">
        <v>35491.33</v>
      </c>
      <c r="F6" s="700"/>
    </row>
    <row r="7" spans="1:6" ht="15">
      <c r="A7" s="306"/>
      <c r="B7" s="309">
        <v>3</v>
      </c>
      <c r="C7" s="89" t="s">
        <v>488</v>
      </c>
      <c r="D7" s="327" t="s">
        <v>144</v>
      </c>
      <c r="E7" s="330">
        <v>32827.9</v>
      </c>
      <c r="F7" s="700"/>
    </row>
    <row r="8" spans="1:6" ht="15">
      <c r="A8" s="306"/>
      <c r="B8" s="309">
        <v>4</v>
      </c>
      <c r="C8" s="89" t="s">
        <v>489</v>
      </c>
      <c r="D8" s="327" t="s">
        <v>144</v>
      </c>
      <c r="E8" s="330">
        <v>32315.87</v>
      </c>
      <c r="F8" s="700"/>
    </row>
    <row r="9" spans="1:6" ht="15">
      <c r="A9" s="306"/>
      <c r="B9" s="309">
        <v>5</v>
      </c>
      <c r="C9" s="89" t="s">
        <v>490</v>
      </c>
      <c r="D9" s="327" t="s">
        <v>144</v>
      </c>
      <c r="E9" s="330">
        <v>34294.21</v>
      </c>
      <c r="F9" s="700"/>
    </row>
    <row r="10" spans="1:6" ht="15">
      <c r="B10" s="309">
        <v>6</v>
      </c>
      <c r="C10" s="89" t="s">
        <v>491</v>
      </c>
      <c r="D10" s="327" t="s">
        <v>144</v>
      </c>
      <c r="E10" s="330">
        <v>33929.65</v>
      </c>
      <c r="F10" s="700"/>
    </row>
    <row r="11" spans="1:6" ht="15">
      <c r="B11" s="309">
        <v>7</v>
      </c>
      <c r="C11" s="89" t="s">
        <v>492</v>
      </c>
      <c r="D11" s="327" t="s">
        <v>144</v>
      </c>
      <c r="E11" s="330">
        <v>34775.39</v>
      </c>
      <c r="F11" s="700"/>
    </row>
    <row r="12" spans="1:6" ht="15">
      <c r="B12" s="309">
        <v>8</v>
      </c>
      <c r="C12" s="89" t="s">
        <v>493</v>
      </c>
      <c r="D12" s="327" t="s">
        <v>144</v>
      </c>
      <c r="E12" s="330">
        <v>34102.553</v>
      </c>
      <c r="F12" s="700"/>
    </row>
    <row r="13" spans="1:6" ht="15">
      <c r="B13" s="309">
        <v>9</v>
      </c>
      <c r="C13" s="89" t="s">
        <v>494</v>
      </c>
      <c r="D13" s="327" t="s">
        <v>144</v>
      </c>
      <c r="E13" s="330">
        <v>32346.02</v>
      </c>
      <c r="F13" s="700"/>
    </row>
    <row r="14" spans="1:6" ht="15">
      <c r="B14" s="309">
        <v>10</v>
      </c>
      <c r="C14" s="89" t="s">
        <v>495</v>
      </c>
      <c r="D14" s="327" t="s">
        <v>144</v>
      </c>
      <c r="E14" s="330">
        <v>33287.805999999997</v>
      </c>
      <c r="F14" s="700"/>
    </row>
    <row r="15" spans="1:6" ht="15">
      <c r="B15" s="309">
        <v>11</v>
      </c>
      <c r="C15" s="89" t="s">
        <v>496</v>
      </c>
      <c r="D15" s="327" t="s">
        <v>144</v>
      </c>
      <c r="E15" s="328">
        <v>37728.631999999998</v>
      </c>
      <c r="F15" s="700"/>
    </row>
    <row r="16" spans="1:6" ht="15">
      <c r="B16" s="309">
        <v>12</v>
      </c>
      <c r="C16" s="89" t="s">
        <v>497</v>
      </c>
      <c r="D16" s="327" t="s">
        <v>144</v>
      </c>
      <c r="E16" s="328">
        <v>27567.133999999998</v>
      </c>
      <c r="F16" s="700"/>
    </row>
    <row r="17" spans="2:6" ht="15">
      <c r="B17" s="309"/>
      <c r="C17" s="308" t="s">
        <v>357</v>
      </c>
      <c r="D17" s="49"/>
      <c r="E17" s="329">
        <f>SUM(E5:E16)</f>
        <v>403102.76500000001</v>
      </c>
      <c r="F17" s="701"/>
    </row>
  </sheetData>
  <mergeCells count="3">
    <mergeCell ref="F5:F17"/>
    <mergeCell ref="A1:F1"/>
    <mergeCell ref="A2:F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B1" workbookViewId="0">
      <selection activeCell="F21" sqref="F21"/>
    </sheetView>
  </sheetViews>
  <sheetFormatPr defaultRowHeight="14.25"/>
  <cols>
    <col min="1" max="1" width="0" hidden="1" customWidth="1"/>
    <col min="2" max="2" width="3.5" bestFit="1" customWidth="1"/>
    <col min="3" max="3" width="29.375" customWidth="1"/>
    <col min="4" max="4" width="19.375" bestFit="1" customWidth="1"/>
    <col min="5" max="5" width="12.375" bestFit="1" customWidth="1"/>
    <col min="6" max="6" width="59.625" customWidth="1"/>
  </cols>
  <sheetData>
    <row r="1" spans="1:6" ht="18.75">
      <c r="A1" s="702" t="s">
        <v>665</v>
      </c>
      <c r="B1" s="702"/>
      <c r="C1" s="702"/>
      <c r="D1" s="702"/>
      <c r="E1" s="702"/>
      <c r="F1" s="702"/>
    </row>
    <row r="2" spans="1:6" ht="18.75">
      <c r="A2" s="704" t="s">
        <v>466</v>
      </c>
      <c r="B2" s="704"/>
      <c r="C2" s="704"/>
      <c r="D2" s="704"/>
      <c r="E2" s="704"/>
      <c r="F2" s="704"/>
    </row>
    <row r="3" spans="1:6" ht="15">
      <c r="A3" s="301" t="s">
        <v>19</v>
      </c>
      <c r="B3" s="302"/>
      <c r="C3" s="303"/>
      <c r="D3" s="304"/>
      <c r="E3" s="303"/>
      <c r="F3" s="305"/>
    </row>
    <row r="4" spans="1:6" ht="28.5">
      <c r="A4" s="306"/>
      <c r="B4" s="307" t="s">
        <v>19</v>
      </c>
      <c r="C4" s="308" t="s">
        <v>477</v>
      </c>
      <c r="D4" s="308" t="s">
        <v>478</v>
      </c>
      <c r="E4" s="308" t="s">
        <v>467</v>
      </c>
      <c r="F4" s="308" t="s">
        <v>40</v>
      </c>
    </row>
    <row r="5" spans="1:6" ht="15" customHeight="1">
      <c r="A5" s="306"/>
      <c r="B5" s="309">
        <v>1</v>
      </c>
      <c r="C5" s="310" t="s">
        <v>468</v>
      </c>
      <c r="D5" s="311">
        <v>6900</v>
      </c>
      <c r="E5" s="311">
        <v>4</v>
      </c>
      <c r="F5" s="705" t="s">
        <v>479</v>
      </c>
    </row>
    <row r="6" spans="1:6" ht="15">
      <c r="A6" s="306"/>
      <c r="B6" s="309">
        <v>2</v>
      </c>
      <c r="C6" s="310" t="s">
        <v>469</v>
      </c>
      <c r="D6" s="311">
        <v>45274</v>
      </c>
      <c r="E6" s="311">
        <v>26</v>
      </c>
      <c r="F6" s="706"/>
    </row>
    <row r="7" spans="1:6" ht="15">
      <c r="A7" s="306"/>
      <c r="B7" s="309">
        <v>3</v>
      </c>
      <c r="C7" s="310" t="s">
        <v>470</v>
      </c>
      <c r="D7" s="311">
        <v>55242</v>
      </c>
      <c r="E7" s="311">
        <v>31</v>
      </c>
      <c r="F7" s="706"/>
    </row>
    <row r="8" spans="1:6" ht="15">
      <c r="A8" s="306"/>
      <c r="B8" s="309">
        <v>4</v>
      </c>
      <c r="C8" s="310" t="s">
        <v>471</v>
      </c>
      <c r="D8" s="311">
        <v>75676</v>
      </c>
      <c r="E8" s="311">
        <v>43</v>
      </c>
      <c r="F8" s="706"/>
    </row>
    <row r="9" spans="1:6" ht="15">
      <c r="A9" s="306"/>
      <c r="B9" s="309">
        <v>5</v>
      </c>
      <c r="C9" s="310" t="s">
        <v>472</v>
      </c>
      <c r="D9" s="311">
        <v>92687</v>
      </c>
      <c r="E9" s="311">
        <v>53</v>
      </c>
      <c r="F9" s="706"/>
    </row>
    <row r="10" spans="1:6" ht="15">
      <c r="A10" s="306"/>
      <c r="B10" s="309">
        <v>6</v>
      </c>
      <c r="C10" s="310" t="s">
        <v>473</v>
      </c>
      <c r="D10" s="311">
        <v>95463</v>
      </c>
      <c r="E10" s="311">
        <v>54</v>
      </c>
      <c r="F10" s="706"/>
    </row>
    <row r="11" spans="1:6" ht="15">
      <c r="A11" s="312"/>
      <c r="B11" s="309">
        <v>7</v>
      </c>
      <c r="C11" s="310" t="s">
        <v>474</v>
      </c>
      <c r="D11" s="311">
        <v>94870</v>
      </c>
      <c r="E11" s="311">
        <v>54</v>
      </c>
      <c r="F11" s="706"/>
    </row>
    <row r="12" spans="1:6" ht="15">
      <c r="A12" s="313"/>
      <c r="B12" s="309">
        <v>8</v>
      </c>
      <c r="C12" s="310" t="s">
        <v>475</v>
      </c>
      <c r="D12" s="311">
        <v>91092</v>
      </c>
      <c r="E12" s="311">
        <v>52</v>
      </c>
      <c r="F12" s="706"/>
    </row>
    <row r="13" spans="1:6" ht="15">
      <c r="A13" s="313"/>
      <c r="B13" s="309">
        <v>9</v>
      </c>
      <c r="C13" s="310" t="s">
        <v>476</v>
      </c>
      <c r="D13" s="311">
        <v>86981</v>
      </c>
      <c r="E13" s="311">
        <v>50</v>
      </c>
      <c r="F13" s="706"/>
    </row>
    <row r="14" spans="1:6" ht="15">
      <c r="A14" s="314"/>
      <c r="B14" s="309"/>
      <c r="C14" s="307" t="s">
        <v>357</v>
      </c>
      <c r="D14" s="315">
        <f>SUM(D5:D13)</f>
        <v>644185</v>
      </c>
      <c r="E14" s="315">
        <f>SUM(E5:E13)</f>
        <v>367</v>
      </c>
      <c r="F14" s="706"/>
    </row>
  </sheetData>
  <mergeCells count="3">
    <mergeCell ref="A1:F1"/>
    <mergeCell ref="A2:F2"/>
    <mergeCell ref="F5:F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C9" sqref="C9"/>
    </sheetView>
  </sheetViews>
  <sheetFormatPr defaultRowHeight="14.25"/>
  <cols>
    <col min="1" max="1" width="5.25" customWidth="1"/>
    <col min="2" max="2" width="52.875" customWidth="1"/>
    <col min="3" max="3" width="14.75" customWidth="1"/>
    <col min="4" max="4" width="18.75" customWidth="1"/>
    <col min="5" max="5" width="70.25" customWidth="1"/>
  </cols>
  <sheetData>
    <row r="1" spans="1:5" ht="18.75">
      <c r="A1" s="708" t="s">
        <v>512</v>
      </c>
      <c r="B1" s="708"/>
      <c r="C1" s="708"/>
      <c r="D1" s="708"/>
      <c r="E1" s="708"/>
    </row>
    <row r="2" spans="1:5" ht="18.75">
      <c r="A2" s="708" t="s">
        <v>508</v>
      </c>
      <c r="B2" s="708"/>
      <c r="C2" s="708"/>
      <c r="D2" s="708"/>
      <c r="E2" s="708"/>
    </row>
    <row r="3" spans="1:5" ht="18.75">
      <c r="A3" s="332"/>
      <c r="B3" s="332"/>
      <c r="C3" s="332"/>
      <c r="D3" s="332"/>
    </row>
    <row r="4" spans="1:5" ht="82.5">
      <c r="A4" s="345" t="s">
        <v>0</v>
      </c>
      <c r="B4" s="345" t="s">
        <v>44</v>
      </c>
      <c r="C4" s="333" t="s">
        <v>349</v>
      </c>
      <c r="D4" s="334" t="s">
        <v>513</v>
      </c>
      <c r="E4" s="346" t="s">
        <v>40</v>
      </c>
    </row>
    <row r="5" spans="1:5" ht="84" customHeight="1">
      <c r="A5" s="335">
        <v>1</v>
      </c>
      <c r="B5" s="336" t="s">
        <v>509</v>
      </c>
      <c r="C5" s="254"/>
      <c r="D5" s="337">
        <f>270994415814+674375887</f>
        <v>271668791701</v>
      </c>
      <c r="E5" s="707" t="s">
        <v>514</v>
      </c>
    </row>
    <row r="6" spans="1:5" ht="105.75" customHeight="1">
      <c r="A6" s="338">
        <v>2</v>
      </c>
      <c r="B6" s="339" t="s">
        <v>510</v>
      </c>
      <c r="C6" s="254"/>
      <c r="D6" s="340">
        <v>7894179762</v>
      </c>
      <c r="E6" s="707"/>
    </row>
    <row r="7" spans="1:5" ht="98.25" customHeight="1">
      <c r="A7" s="341">
        <v>3</v>
      </c>
      <c r="B7" s="342" t="s">
        <v>511</v>
      </c>
      <c r="C7" s="343">
        <v>4.4999999999999998E-2</v>
      </c>
      <c r="D7" s="344">
        <f>D6/D5</f>
        <v>2.9058103113619223E-2</v>
      </c>
      <c r="E7" s="707"/>
    </row>
  </sheetData>
  <mergeCells count="3">
    <mergeCell ref="E5:E7"/>
    <mergeCell ref="A1:E1"/>
    <mergeCell ref="A2:E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B1" zoomScale="190" zoomScaleNormal="190" workbookViewId="0">
      <selection activeCell="G5" sqref="G5:G6"/>
    </sheetView>
  </sheetViews>
  <sheetFormatPr defaultRowHeight="14.25"/>
  <cols>
    <col min="1" max="1" width="7" customWidth="1"/>
    <col min="2" max="2" width="26.625" customWidth="1"/>
    <col min="4" max="4" width="11" customWidth="1"/>
    <col min="5" max="5" width="10.875" customWidth="1"/>
    <col min="6" max="6" width="11.5" customWidth="1"/>
    <col min="7" max="7" width="49.5" customWidth="1"/>
  </cols>
  <sheetData>
    <row r="1" spans="1:7" ht="15.75">
      <c r="A1" s="709" t="s">
        <v>666</v>
      </c>
      <c r="B1" s="709"/>
      <c r="C1" s="709"/>
      <c r="D1" s="709"/>
      <c r="E1" s="709"/>
      <c r="F1" s="709"/>
      <c r="G1" s="709"/>
    </row>
    <row r="2" spans="1:7" ht="15.75" customHeight="1">
      <c r="A2" s="710" t="s">
        <v>598</v>
      </c>
      <c r="B2" s="710"/>
      <c r="C2" s="710"/>
      <c r="D2" s="710"/>
      <c r="E2" s="710"/>
      <c r="F2" s="710"/>
      <c r="G2" s="710"/>
    </row>
    <row r="3" spans="1:7" ht="15.75">
      <c r="A3" s="398"/>
      <c r="B3" s="398"/>
      <c r="C3" s="399"/>
      <c r="D3" s="399"/>
      <c r="E3" s="399"/>
      <c r="F3" s="399"/>
      <c r="G3" s="400" t="s">
        <v>599</v>
      </c>
    </row>
    <row r="4" spans="1:7">
      <c r="A4" s="402" t="s">
        <v>0</v>
      </c>
      <c r="B4" s="401" t="str">
        <f>+'[6]PL2-ĐM&amp;ĐG vật tư'!C5:C5</f>
        <v>Nội dung chi phí</v>
      </c>
      <c r="C4" s="402" t="s">
        <v>244</v>
      </c>
      <c r="D4" s="402" t="s">
        <v>600</v>
      </c>
      <c r="E4" s="402" t="s">
        <v>530</v>
      </c>
      <c r="F4" s="402" t="s">
        <v>246</v>
      </c>
      <c r="G4" s="403" t="s">
        <v>40</v>
      </c>
    </row>
    <row r="5" spans="1:7" ht="75" customHeight="1">
      <c r="A5" s="352">
        <v>1</v>
      </c>
      <c r="B5" s="367" t="s">
        <v>392</v>
      </c>
      <c r="C5" s="352" t="s">
        <v>298</v>
      </c>
      <c r="D5" s="410">
        <v>1.5E-3</v>
      </c>
      <c r="E5" s="405">
        <f>'X.DG KH may'!I12</f>
        <v>815940.22415940231</v>
      </c>
      <c r="F5" s="411">
        <f>D5*E5</f>
        <v>1223.9103362391036</v>
      </c>
      <c r="G5" s="711" t="s">
        <v>735</v>
      </c>
    </row>
    <row r="6" spans="1:7" ht="15">
      <c r="A6" s="352">
        <v>2</v>
      </c>
      <c r="B6" s="367" t="s">
        <v>393</v>
      </c>
      <c r="C6" s="352" t="s">
        <v>298</v>
      </c>
      <c r="D6" s="410">
        <v>1.5E-3</v>
      </c>
      <c r="E6" s="405">
        <f>'X.DG KH may'!I19</f>
        <v>421506.84931506845</v>
      </c>
      <c r="F6" s="411">
        <f>D6*E6</f>
        <v>632.2602739726027</v>
      </c>
      <c r="G6" s="712"/>
    </row>
    <row r="7" spans="1:7" ht="15">
      <c r="A7" s="49"/>
      <c r="B7" s="402" t="s">
        <v>357</v>
      </c>
      <c r="C7" s="406"/>
      <c r="D7" s="404"/>
      <c r="E7" s="407"/>
      <c r="F7" s="408">
        <f>SUM(F5:F6)</f>
        <v>1856.1706102117064</v>
      </c>
      <c r="G7" s="409"/>
    </row>
  </sheetData>
  <mergeCells count="3">
    <mergeCell ref="A1:G1"/>
    <mergeCell ref="A2:G2"/>
    <mergeCell ref="G5:G6"/>
  </mergeCell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E4" zoomScale="110" zoomScaleNormal="110" workbookViewId="0">
      <selection activeCell="H21" sqref="H21"/>
    </sheetView>
  </sheetViews>
  <sheetFormatPr defaultRowHeight="14.25"/>
  <cols>
    <col min="1" max="1" width="7.5" customWidth="1"/>
    <col min="2" max="2" width="31.375" customWidth="1"/>
    <col min="3" max="3" width="11.75" customWidth="1"/>
    <col min="4" max="4" width="12.5" customWidth="1"/>
    <col min="5" max="6" width="13" customWidth="1"/>
    <col min="7" max="7" width="12.5" customWidth="1"/>
    <col min="8" max="9" width="14.125" style="170" customWidth="1"/>
    <col min="10" max="10" width="49.875" customWidth="1"/>
    <col min="11" max="11" width="26.5" customWidth="1"/>
  </cols>
  <sheetData>
    <row r="1" spans="1:10" ht="18.75" customHeight="1">
      <c r="A1" s="713" t="s">
        <v>512</v>
      </c>
      <c r="B1" s="713"/>
      <c r="C1" s="713"/>
      <c r="D1" s="713"/>
      <c r="E1" s="713"/>
      <c r="F1" s="713"/>
      <c r="G1" s="713"/>
      <c r="H1" s="713"/>
      <c r="I1" s="713"/>
      <c r="J1" s="713"/>
    </row>
    <row r="2" spans="1:10" ht="18.75" customHeight="1">
      <c r="A2" s="713" t="s">
        <v>601</v>
      </c>
      <c r="B2" s="713"/>
      <c r="C2" s="713"/>
      <c r="D2" s="713"/>
      <c r="E2" s="713"/>
      <c r="F2" s="713"/>
      <c r="G2" s="713"/>
      <c r="H2" s="713"/>
      <c r="I2" s="713"/>
      <c r="J2" s="713"/>
    </row>
    <row r="3" spans="1:10" ht="15">
      <c r="A3" s="714" t="s">
        <v>602</v>
      </c>
      <c r="B3" s="714"/>
      <c r="C3" s="714"/>
      <c r="D3" s="714"/>
      <c r="E3" s="714"/>
      <c r="F3" s="714"/>
      <c r="G3" s="714"/>
      <c r="H3" s="714"/>
      <c r="I3" s="714"/>
      <c r="J3" s="714"/>
    </row>
    <row r="4" spans="1:10">
      <c r="A4" s="688" t="s">
        <v>0</v>
      </c>
      <c r="B4" s="688" t="s">
        <v>23</v>
      </c>
      <c r="C4" s="693" t="s">
        <v>244</v>
      </c>
      <c r="D4" s="693" t="s">
        <v>245</v>
      </c>
      <c r="E4" s="693" t="s">
        <v>45</v>
      </c>
      <c r="F4" s="691" t="s">
        <v>20</v>
      </c>
      <c r="G4" s="692"/>
      <c r="H4" s="615" t="s">
        <v>530</v>
      </c>
      <c r="I4" s="616"/>
      <c r="J4" s="690" t="s">
        <v>40</v>
      </c>
    </row>
    <row r="5" spans="1:10" ht="28.5">
      <c r="A5" s="688"/>
      <c r="B5" s="688"/>
      <c r="C5" s="694"/>
      <c r="D5" s="694"/>
      <c r="E5" s="694"/>
      <c r="F5" s="363" t="s">
        <v>349</v>
      </c>
      <c r="G5" s="363" t="s">
        <v>350</v>
      </c>
      <c r="H5" s="417" t="s">
        <v>349</v>
      </c>
      <c r="I5" s="417" t="s">
        <v>350</v>
      </c>
      <c r="J5" s="690"/>
    </row>
    <row r="6" spans="1:10" s="56" customFormat="1" ht="75">
      <c r="A6" s="417">
        <v>1</v>
      </c>
      <c r="B6" s="365" t="s">
        <v>392</v>
      </c>
      <c r="C6" s="365"/>
      <c r="D6" s="365"/>
      <c r="E6" s="365"/>
      <c r="F6" s="365"/>
      <c r="G6" s="365"/>
      <c r="H6" s="365"/>
      <c r="I6" s="365"/>
      <c r="J6" s="424" t="s">
        <v>660</v>
      </c>
    </row>
    <row r="7" spans="1:10" ht="15">
      <c r="A7" s="350" t="s">
        <v>25</v>
      </c>
      <c r="B7" s="351" t="s">
        <v>531</v>
      </c>
      <c r="C7" s="352" t="s">
        <v>532</v>
      </c>
      <c r="D7" s="353" t="s">
        <v>457</v>
      </c>
      <c r="E7" s="351"/>
      <c r="F7" s="351"/>
      <c r="G7" s="352"/>
      <c r="H7" s="354">
        <v>1820000000</v>
      </c>
      <c r="I7" s="354">
        <v>1654545454.5454545</v>
      </c>
      <c r="J7" s="368"/>
    </row>
    <row r="8" spans="1:10" ht="16.5">
      <c r="A8" s="350" t="s">
        <v>25</v>
      </c>
      <c r="B8" s="351" t="s">
        <v>533</v>
      </c>
      <c r="C8" s="352" t="s">
        <v>266</v>
      </c>
      <c r="D8" s="353" t="s">
        <v>534</v>
      </c>
      <c r="E8" s="351"/>
      <c r="F8" s="355">
        <v>9.5000000000000001E-2</v>
      </c>
      <c r="G8" s="355">
        <v>9.5000000000000001E-2</v>
      </c>
      <c r="H8" s="372">
        <f>0.1*H7</f>
        <v>182000000</v>
      </c>
      <c r="I8" s="354">
        <f>0.1*I7</f>
        <v>165454545.45454547</v>
      </c>
      <c r="J8" s="368"/>
    </row>
    <row r="9" spans="1:10" ht="16.5">
      <c r="A9" s="350" t="s">
        <v>25</v>
      </c>
      <c r="B9" s="351" t="s">
        <v>535</v>
      </c>
      <c r="C9" s="352" t="s">
        <v>532</v>
      </c>
      <c r="D9" s="353" t="s">
        <v>536</v>
      </c>
      <c r="E9" s="353" t="s">
        <v>537</v>
      </c>
      <c r="F9" s="352"/>
      <c r="G9" s="352"/>
      <c r="H9" s="372">
        <f>H7-H8</f>
        <v>1638000000</v>
      </c>
      <c r="I9" s="354">
        <f>+I7-I8</f>
        <v>1489090909.090909</v>
      </c>
      <c r="J9" s="368"/>
    </row>
    <row r="10" spans="1:10" ht="16.5">
      <c r="A10" s="350" t="s">
        <v>25</v>
      </c>
      <c r="B10" s="351" t="s">
        <v>538</v>
      </c>
      <c r="C10" s="353" t="s">
        <v>298</v>
      </c>
      <c r="D10" s="353" t="s">
        <v>539</v>
      </c>
      <c r="E10" s="351"/>
      <c r="F10" s="374">
        <v>365</v>
      </c>
      <c r="G10" s="374">
        <f>F10</f>
        <v>365</v>
      </c>
      <c r="H10" s="361"/>
      <c r="I10" s="356"/>
      <c r="J10" s="368"/>
    </row>
    <row r="11" spans="1:10" ht="33">
      <c r="A11" s="350" t="s">
        <v>25</v>
      </c>
      <c r="B11" s="351" t="s">
        <v>639</v>
      </c>
      <c r="C11" s="353" t="s">
        <v>266</v>
      </c>
      <c r="D11" s="353" t="s">
        <v>541</v>
      </c>
      <c r="E11" s="353" t="s">
        <v>542</v>
      </c>
      <c r="F11" s="373">
        <v>0.125</v>
      </c>
      <c r="G11" s="373">
        <v>0.2</v>
      </c>
      <c r="H11" s="372">
        <v>560958.90410958906</v>
      </c>
      <c r="I11" s="360">
        <f>+(I9/G10)*G11</f>
        <v>815940.22415940231</v>
      </c>
      <c r="J11" s="368"/>
    </row>
    <row r="12" spans="1:10" s="56" customFormat="1" ht="28.5">
      <c r="A12" s="357" t="s">
        <v>543</v>
      </c>
      <c r="B12" s="359" t="s">
        <v>640</v>
      </c>
      <c r="C12" s="358"/>
      <c r="D12" s="358"/>
      <c r="E12" s="358"/>
      <c r="F12" s="440"/>
      <c r="G12" s="440"/>
      <c r="H12" s="441">
        <f>SUM(H11:H11)</f>
        <v>560958.90410958906</v>
      </c>
      <c r="I12" s="441">
        <f>SUM(I11:I11)</f>
        <v>815940.22415940231</v>
      </c>
      <c r="J12" s="442"/>
    </row>
    <row r="13" spans="1:10" ht="75">
      <c r="A13" s="417">
        <v>2</v>
      </c>
      <c r="B13" s="365" t="s">
        <v>393</v>
      </c>
      <c r="C13" s="365"/>
      <c r="D13" s="365"/>
      <c r="E13" s="365"/>
      <c r="F13" s="439"/>
      <c r="G13" s="439"/>
      <c r="H13" s="365"/>
      <c r="I13" s="365"/>
      <c r="J13" s="424" t="s">
        <v>660</v>
      </c>
    </row>
    <row r="14" spans="1:10" ht="15">
      <c r="A14" s="350" t="s">
        <v>25</v>
      </c>
      <c r="B14" s="351" t="s">
        <v>531</v>
      </c>
      <c r="C14" s="352" t="s">
        <v>532</v>
      </c>
      <c r="D14" s="353" t="s">
        <v>457</v>
      </c>
      <c r="E14" s="351"/>
      <c r="F14" s="439"/>
      <c r="G14" s="439"/>
      <c r="H14" s="354">
        <v>935000000</v>
      </c>
      <c r="I14" s="354">
        <v>849999999.99999988</v>
      </c>
      <c r="J14" s="424"/>
    </row>
    <row r="15" spans="1:10" ht="16.5">
      <c r="A15" s="350" t="s">
        <v>25</v>
      </c>
      <c r="B15" s="351" t="s">
        <v>533</v>
      </c>
      <c r="C15" s="352" t="s">
        <v>266</v>
      </c>
      <c r="D15" s="353" t="s">
        <v>534</v>
      </c>
      <c r="E15" s="351"/>
      <c r="F15" s="355">
        <v>9.5000000000000001E-2</v>
      </c>
      <c r="G15" s="355">
        <v>9.5000000000000001E-2</v>
      </c>
      <c r="H15" s="354">
        <f>H14*F15</f>
        <v>88825000</v>
      </c>
      <c r="I15" s="354">
        <f>I14*G15</f>
        <v>80749999.999999985</v>
      </c>
      <c r="J15" s="424"/>
    </row>
    <row r="16" spans="1:10" ht="16.5">
      <c r="A16" s="350" t="s">
        <v>25</v>
      </c>
      <c r="B16" s="351" t="s">
        <v>535</v>
      </c>
      <c r="C16" s="352" t="s">
        <v>532</v>
      </c>
      <c r="D16" s="353" t="s">
        <v>536</v>
      </c>
      <c r="E16" s="353" t="s">
        <v>537</v>
      </c>
      <c r="F16" s="375"/>
      <c r="G16" s="375"/>
      <c r="H16" s="354">
        <f>H14-H15</f>
        <v>846175000</v>
      </c>
      <c r="I16" s="354">
        <f>I14-I15</f>
        <v>769249999.99999988</v>
      </c>
      <c r="J16" s="368"/>
    </row>
    <row r="17" spans="1:10" ht="16.5">
      <c r="A17" s="350" t="s">
        <v>25</v>
      </c>
      <c r="B17" s="351" t="s">
        <v>538</v>
      </c>
      <c r="C17" s="353" t="s">
        <v>298</v>
      </c>
      <c r="D17" s="353" t="s">
        <v>539</v>
      </c>
      <c r="E17" s="351"/>
      <c r="F17" s="374">
        <v>365</v>
      </c>
      <c r="G17" s="374">
        <f>F17</f>
        <v>365</v>
      </c>
      <c r="H17" s="361"/>
      <c r="I17" s="356"/>
      <c r="J17" s="368"/>
    </row>
    <row r="18" spans="1:10" ht="33">
      <c r="A18" s="350" t="s">
        <v>25</v>
      </c>
      <c r="B18" s="351" t="s">
        <v>639</v>
      </c>
      <c r="C18" s="353" t="s">
        <v>266</v>
      </c>
      <c r="D18" s="353" t="s">
        <v>541</v>
      </c>
      <c r="E18" s="353" t="s">
        <v>542</v>
      </c>
      <c r="F18" s="373">
        <v>0.125</v>
      </c>
      <c r="G18" s="373">
        <v>0.2</v>
      </c>
      <c r="H18" s="372">
        <v>288184.9315068493</v>
      </c>
      <c r="I18" s="360">
        <f>+(I16/G17)*G18</f>
        <v>421506.84931506845</v>
      </c>
      <c r="J18" s="368"/>
    </row>
    <row r="19" spans="1:10" s="56" customFormat="1" ht="28.5">
      <c r="A19" s="357" t="s">
        <v>543</v>
      </c>
      <c r="B19" s="359" t="s">
        <v>641</v>
      </c>
      <c r="C19" s="358"/>
      <c r="D19" s="358"/>
      <c r="E19" s="358"/>
      <c r="F19" s="358"/>
      <c r="G19" s="443"/>
      <c r="H19" s="441">
        <f>SUM(H18:H18)</f>
        <v>288184.9315068493</v>
      </c>
      <c r="I19" s="441">
        <f>SUM(I18:I18)</f>
        <v>421506.84931506845</v>
      </c>
      <c r="J19" s="442"/>
    </row>
    <row r="20" spans="1:10">
      <c r="I20" s="490"/>
    </row>
  </sheetData>
  <mergeCells count="11">
    <mergeCell ref="A1:J1"/>
    <mergeCell ref="J4:J5"/>
    <mergeCell ref="A4:A5"/>
    <mergeCell ref="B4:B5"/>
    <mergeCell ref="F4:G4"/>
    <mergeCell ref="H4:I4"/>
    <mergeCell ref="A3:J3"/>
    <mergeCell ref="A2:J2"/>
    <mergeCell ref="C4:C5"/>
    <mergeCell ref="D4:D5"/>
    <mergeCell ref="E4:E5"/>
  </mergeCell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G6" sqref="G6"/>
    </sheetView>
  </sheetViews>
  <sheetFormatPr defaultRowHeight="14.25"/>
  <cols>
    <col min="1" max="1" width="3.375" bestFit="1" customWidth="1"/>
    <col min="2" max="2" width="53.25" customWidth="1"/>
    <col min="3" max="3" width="5" bestFit="1" customWidth="1"/>
    <col min="4" max="4" width="6.125" customWidth="1"/>
    <col min="5" max="5" width="12.25" customWidth="1"/>
    <col min="6" max="6" width="12.75" customWidth="1"/>
    <col min="7" max="7" width="38.25" customWidth="1"/>
  </cols>
  <sheetData>
    <row r="1" spans="1:7" ht="20.25">
      <c r="A1" s="715" t="s">
        <v>604</v>
      </c>
      <c r="B1" s="715"/>
      <c r="C1" s="715"/>
      <c r="D1" s="715"/>
      <c r="E1" s="715"/>
      <c r="F1" s="715"/>
      <c r="G1" s="715"/>
    </row>
    <row r="2" spans="1:7" ht="18.75">
      <c r="A2" s="716" t="s">
        <v>605</v>
      </c>
      <c r="B2" s="716"/>
      <c r="C2" s="716"/>
      <c r="D2" s="716"/>
      <c r="E2" s="716"/>
      <c r="F2" s="716"/>
      <c r="G2" s="716"/>
    </row>
    <row r="3" spans="1:7" ht="15">
      <c r="A3" s="324"/>
      <c r="B3" s="324"/>
      <c r="C3" s="325"/>
      <c r="D3" s="325"/>
      <c r="E3" s="325"/>
      <c r="F3" s="325"/>
      <c r="G3" s="326" t="s">
        <v>599</v>
      </c>
    </row>
    <row r="4" spans="1:7" ht="20.25" customHeight="1">
      <c r="A4" s="718" t="s">
        <v>19</v>
      </c>
      <c r="B4" s="718" t="s">
        <v>606</v>
      </c>
      <c r="C4" s="718" t="s">
        <v>244</v>
      </c>
      <c r="D4" s="653" t="s">
        <v>607</v>
      </c>
      <c r="E4" s="649" t="s">
        <v>424</v>
      </c>
      <c r="F4" s="650"/>
      <c r="G4" s="718" t="s">
        <v>40</v>
      </c>
    </row>
    <row r="5" spans="1:7" ht="28.5">
      <c r="A5" s="719"/>
      <c r="B5" s="719"/>
      <c r="C5" s="719"/>
      <c r="D5" s="717"/>
      <c r="E5" s="363" t="s">
        <v>349</v>
      </c>
      <c r="F5" s="363" t="s">
        <v>350</v>
      </c>
      <c r="G5" s="719"/>
    </row>
    <row r="6" spans="1:7" ht="15.75">
      <c r="A6" s="230">
        <v>1</v>
      </c>
      <c r="B6" s="232" t="s">
        <v>608</v>
      </c>
      <c r="C6" s="230" t="s">
        <v>144</v>
      </c>
      <c r="D6" s="230">
        <v>1</v>
      </c>
      <c r="E6" s="272">
        <f>'XII. Bang tinh KH'!I64</f>
        <v>9208.5378101037968</v>
      </c>
      <c r="F6" s="270">
        <f>'XII. Bang tinh KH'!J64</f>
        <v>14218.49191261837</v>
      </c>
      <c r="G6" s="412" t="s">
        <v>667</v>
      </c>
    </row>
  </sheetData>
  <mergeCells count="8">
    <mergeCell ref="A1:G1"/>
    <mergeCell ref="A2:G2"/>
    <mergeCell ref="E4:F4"/>
    <mergeCell ref="D4:D5"/>
    <mergeCell ref="C4:C5"/>
    <mergeCell ref="B4:B5"/>
    <mergeCell ref="A4:A5"/>
    <mergeCell ref="G4:G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zoomScale="87" zoomScaleNormal="87" workbookViewId="0">
      <pane xSplit="2" ySplit="7" topLeftCell="E8" activePane="bottomRight" state="frozen"/>
      <selection pane="topRight" activeCell="C1" sqref="C1"/>
      <selection pane="bottomLeft" activeCell="A8" sqref="A8"/>
      <selection pane="bottomRight" activeCell="G14" sqref="G14"/>
    </sheetView>
  </sheetViews>
  <sheetFormatPr defaultRowHeight="15"/>
  <cols>
    <col min="1" max="1" width="6.25" style="91" customWidth="1"/>
    <col min="2" max="2" width="47.125" style="91" customWidth="1"/>
    <col min="3" max="3" width="15.375" style="91" customWidth="1"/>
    <col min="4" max="4" width="8.625" style="91" hidden="1" customWidth="1"/>
    <col min="5" max="5" width="16.375" style="91" customWidth="1"/>
    <col min="6" max="6" width="17.25" style="91" customWidth="1"/>
    <col min="7" max="7" width="17.125" style="91" customWidth="1"/>
    <col min="8" max="8" width="16.75" style="91" customWidth="1"/>
    <col min="9" max="9" width="18" style="91" customWidth="1"/>
    <col min="10" max="10" width="18.75" style="91" customWidth="1"/>
    <col min="11" max="11" width="21.75" style="91" hidden="1" customWidth="1"/>
    <col min="12" max="16384" width="9" style="91"/>
  </cols>
  <sheetData>
    <row r="1" spans="1:11" ht="15" customHeight="1">
      <c r="A1"/>
      <c r="B1" s="720" t="s">
        <v>609</v>
      </c>
      <c r="C1" s="720"/>
      <c r="D1" s="720"/>
      <c r="E1" s="720"/>
      <c r="F1" s="720"/>
      <c r="G1" s="720"/>
      <c r="H1" s="720"/>
      <c r="I1" s="720"/>
      <c r="J1" s="720"/>
      <c r="K1" s="720"/>
    </row>
    <row r="2" spans="1:11" ht="15" customHeight="1">
      <c r="A2" s="720" t="s">
        <v>582</v>
      </c>
      <c r="B2" s="720"/>
      <c r="C2" s="720"/>
      <c r="D2" s="720"/>
      <c r="E2" s="720"/>
      <c r="F2" s="720"/>
      <c r="G2" s="720"/>
      <c r="H2" s="720"/>
      <c r="I2" s="720"/>
      <c r="J2" s="720"/>
      <c r="K2" s="720"/>
    </row>
    <row r="3" spans="1:11">
      <c r="A3"/>
      <c r="B3"/>
      <c r="C3"/>
      <c r="D3"/>
      <c r="E3"/>
      <c r="F3"/>
      <c r="G3"/>
      <c r="H3"/>
      <c r="I3"/>
      <c r="J3" s="496" t="s">
        <v>672</v>
      </c>
      <c r="K3"/>
    </row>
    <row r="4" spans="1:11" ht="15.75" customHeight="1">
      <c r="A4" s="736" t="s">
        <v>0</v>
      </c>
      <c r="B4" s="725" t="s">
        <v>544</v>
      </c>
      <c r="C4" s="725" t="s">
        <v>244</v>
      </c>
      <c r="D4" s="725" t="s">
        <v>518</v>
      </c>
      <c r="E4" s="722" t="s">
        <v>424</v>
      </c>
      <c r="F4" s="723"/>
      <c r="G4" s="723"/>
      <c r="H4" s="724"/>
      <c r="I4" s="722" t="s">
        <v>668</v>
      </c>
      <c r="J4" s="724"/>
      <c r="K4" s="721" t="s">
        <v>40</v>
      </c>
    </row>
    <row r="5" spans="1:11" ht="71.25" customHeight="1">
      <c r="A5" s="737"/>
      <c r="B5" s="726"/>
      <c r="C5" s="726"/>
      <c r="D5" s="726"/>
      <c r="E5" s="734" t="s">
        <v>583</v>
      </c>
      <c r="F5" s="735"/>
      <c r="G5" s="721" t="s">
        <v>671</v>
      </c>
      <c r="H5" s="721"/>
      <c r="I5" s="739"/>
      <c r="J5" s="740"/>
      <c r="K5" s="721"/>
    </row>
    <row r="6" spans="1:11" ht="47.25">
      <c r="A6" s="738"/>
      <c r="B6" s="727"/>
      <c r="C6" s="727"/>
      <c r="D6" s="727"/>
      <c r="E6" s="180" t="s">
        <v>584</v>
      </c>
      <c r="F6" s="180" t="s">
        <v>585</v>
      </c>
      <c r="G6" s="382" t="s">
        <v>349</v>
      </c>
      <c r="H6" s="382" t="s">
        <v>350</v>
      </c>
      <c r="I6" s="180" t="s">
        <v>349</v>
      </c>
      <c r="J6" s="180" t="s">
        <v>350</v>
      </c>
      <c r="K6" s="180"/>
    </row>
    <row r="7" spans="1:11" s="394" customFormat="1" ht="15.75">
      <c r="A7" s="391"/>
      <c r="B7" s="388"/>
      <c r="C7" s="392"/>
      <c r="D7" s="388"/>
      <c r="E7" s="393" t="s">
        <v>358</v>
      </c>
      <c r="F7" s="393" t="s">
        <v>359</v>
      </c>
      <c r="G7" s="393" t="s">
        <v>360</v>
      </c>
      <c r="H7" s="393" t="s">
        <v>361</v>
      </c>
      <c r="I7" s="393" t="s">
        <v>645</v>
      </c>
      <c r="J7" s="388" t="s">
        <v>644</v>
      </c>
      <c r="K7" s="388"/>
    </row>
    <row r="8" spans="1:11" ht="15.75">
      <c r="A8" s="384" t="s">
        <v>57</v>
      </c>
      <c r="B8" s="229" t="s">
        <v>545</v>
      </c>
      <c r="C8" s="383"/>
      <c r="D8" s="227"/>
      <c r="E8" s="227"/>
      <c r="F8" s="227"/>
      <c r="G8" s="385">
        <f>G9+G16+G19+G24</f>
        <v>166585723039</v>
      </c>
      <c r="H8" s="385">
        <f>H9+H16+H19+H24</f>
        <v>115341313925.8576</v>
      </c>
      <c r="I8" s="385">
        <f>I9+I16+I19+I24</f>
        <v>4638320313.7463837</v>
      </c>
      <c r="J8" s="385">
        <f>J9+J16+J19+J24</f>
        <v>8124730160.8845053</v>
      </c>
      <c r="K8" s="227"/>
    </row>
    <row r="9" spans="1:11" ht="15.75">
      <c r="A9" s="281" t="s">
        <v>2</v>
      </c>
      <c r="B9" s="297" t="s">
        <v>546</v>
      </c>
      <c r="C9" s="383"/>
      <c r="D9" s="180"/>
      <c r="E9" s="180"/>
      <c r="F9" s="180"/>
      <c r="G9" s="385">
        <f>SUM(G10:G15)</f>
        <v>122995638314</v>
      </c>
      <c r="H9" s="385">
        <f>SUM(H10:H15)</f>
        <v>85160230249</v>
      </c>
      <c r="I9" s="385">
        <f>SUM(I10:I15)</f>
        <v>2459912766.2799997</v>
      </c>
      <c r="J9" s="385">
        <f>SUM(J10:J15)</f>
        <v>6127319689.8220997</v>
      </c>
      <c r="K9" s="741"/>
    </row>
    <row r="10" spans="1:11" s="390" customFormat="1" ht="15.75">
      <c r="A10" s="245">
        <v>1</v>
      </c>
      <c r="B10" s="389" t="s">
        <v>547</v>
      </c>
      <c r="C10" s="245" t="s">
        <v>548</v>
      </c>
      <c r="D10" s="245"/>
      <c r="E10" s="245">
        <v>50</v>
      </c>
      <c r="F10" s="245">
        <v>15</v>
      </c>
      <c r="G10" s="246">
        <v>34791834697</v>
      </c>
      <c r="H10" s="246">
        <v>24089314826</v>
      </c>
      <c r="I10" s="246">
        <f>G10/E10</f>
        <v>695836693.94000006</v>
      </c>
      <c r="J10" s="418">
        <f>H10/F10*367/365</f>
        <v>1614754071.4414611</v>
      </c>
      <c r="K10" s="742"/>
    </row>
    <row r="11" spans="1:11" s="390" customFormat="1" ht="15.75">
      <c r="A11" s="245">
        <v>2</v>
      </c>
      <c r="B11" s="389" t="s">
        <v>549</v>
      </c>
      <c r="C11" s="245" t="s">
        <v>548</v>
      </c>
      <c r="D11" s="245"/>
      <c r="E11" s="245">
        <v>50</v>
      </c>
      <c r="F11" s="245">
        <v>10</v>
      </c>
      <c r="G11" s="246">
        <v>17409150532</v>
      </c>
      <c r="H11" s="246">
        <v>12053819859</v>
      </c>
      <c r="I11" s="246">
        <f t="shared" ref="I11:I15" si="0">G11/E11</f>
        <v>348183010.63999999</v>
      </c>
      <c r="J11" s="418">
        <f t="shared" ref="J11:J15" si="1">H11/F11*367/365</f>
        <v>1211986818.6994522</v>
      </c>
      <c r="K11" s="742"/>
    </row>
    <row r="12" spans="1:11" s="390" customFormat="1" ht="15.75">
      <c r="A12" s="245">
        <v>3</v>
      </c>
      <c r="B12" s="389" t="s">
        <v>550</v>
      </c>
      <c r="C12" s="245" t="s">
        <v>548</v>
      </c>
      <c r="D12" s="245"/>
      <c r="E12" s="245">
        <v>50</v>
      </c>
      <c r="F12" s="245">
        <v>15</v>
      </c>
      <c r="G12" s="246">
        <v>12646842026</v>
      </c>
      <c r="H12" s="246">
        <v>8756472942</v>
      </c>
      <c r="I12" s="246">
        <f t="shared" si="0"/>
        <v>252936840.52000001</v>
      </c>
      <c r="J12" s="418">
        <f t="shared" si="1"/>
        <v>586963574.37698627</v>
      </c>
      <c r="K12" s="742"/>
    </row>
    <row r="13" spans="1:11" s="390" customFormat="1" ht="15.75">
      <c r="A13" s="245">
        <v>4</v>
      </c>
      <c r="B13" s="389" t="s">
        <v>551</v>
      </c>
      <c r="C13" s="245" t="s">
        <v>548</v>
      </c>
      <c r="D13" s="245"/>
      <c r="E13" s="245">
        <v>50</v>
      </c>
      <c r="F13" s="245">
        <v>15</v>
      </c>
      <c r="G13" s="246">
        <v>177828701</v>
      </c>
      <c r="H13" s="246">
        <v>123125774</v>
      </c>
      <c r="I13" s="246">
        <f t="shared" si="0"/>
        <v>3556574.02</v>
      </c>
      <c r="J13" s="418">
        <f t="shared" si="1"/>
        <v>8253362.3850228311</v>
      </c>
      <c r="K13" s="742"/>
    </row>
    <row r="14" spans="1:11" s="390" customFormat="1" ht="15.75">
      <c r="A14" s="245">
        <v>5</v>
      </c>
      <c r="B14" s="389" t="s">
        <v>552</v>
      </c>
      <c r="C14" s="245" t="s">
        <v>548</v>
      </c>
      <c r="D14" s="245"/>
      <c r="E14" s="245">
        <v>50</v>
      </c>
      <c r="F14" s="245">
        <v>10</v>
      </c>
      <c r="G14" s="246">
        <v>640639593</v>
      </c>
      <c r="H14" s="246">
        <v>443568699</v>
      </c>
      <c r="I14" s="246">
        <f t="shared" si="0"/>
        <v>12812791.859999999</v>
      </c>
      <c r="J14" s="418">
        <f t="shared" si="1"/>
        <v>44599921.241917804</v>
      </c>
      <c r="K14" s="742"/>
    </row>
    <row r="15" spans="1:11" s="390" customFormat="1" ht="15.75">
      <c r="A15" s="245">
        <v>6</v>
      </c>
      <c r="B15" s="389" t="s">
        <v>553</v>
      </c>
      <c r="C15" s="245" t="s">
        <v>548</v>
      </c>
      <c r="D15" s="245"/>
      <c r="E15" s="245">
        <v>50</v>
      </c>
      <c r="F15" s="245">
        <v>15</v>
      </c>
      <c r="G15" s="246">
        <v>57329342765</v>
      </c>
      <c r="H15" s="246">
        <v>39693928149</v>
      </c>
      <c r="I15" s="246">
        <f t="shared" si="0"/>
        <v>1146586855.3</v>
      </c>
      <c r="J15" s="418">
        <f t="shared" si="1"/>
        <v>2660761941.6772599</v>
      </c>
      <c r="K15" s="743"/>
    </row>
    <row r="16" spans="1:11" s="390" customFormat="1" ht="15.75">
      <c r="A16" s="419" t="s">
        <v>16</v>
      </c>
      <c r="B16" s="420" t="s">
        <v>554</v>
      </c>
      <c r="C16" s="421"/>
      <c r="D16" s="422"/>
      <c r="E16" s="422"/>
      <c r="F16" s="422"/>
      <c r="G16" s="423">
        <f>SUM(G17:G18)</f>
        <v>28746065795</v>
      </c>
      <c r="H16" s="423">
        <f>SUM(H17:H18)</f>
        <v>19903320276</v>
      </c>
      <c r="I16" s="423">
        <f>SUM(I17:I18)</f>
        <v>1445178924.2143836</v>
      </c>
      <c r="J16" s="423">
        <f>SUM(J17:J18)</f>
        <v>1334158637.6789041</v>
      </c>
      <c r="K16" s="728"/>
    </row>
    <row r="17" spans="1:11" s="390" customFormat="1" ht="15.75">
      <c r="A17" s="245">
        <v>1</v>
      </c>
      <c r="B17" s="389" t="s">
        <v>555</v>
      </c>
      <c r="C17" s="245" t="s">
        <v>548</v>
      </c>
      <c r="D17" s="245">
        <v>1</v>
      </c>
      <c r="E17" s="245">
        <v>20</v>
      </c>
      <c r="F17" s="245">
        <v>15</v>
      </c>
      <c r="G17" s="246">
        <v>8501840115</v>
      </c>
      <c r="H17" s="246">
        <v>5886539325</v>
      </c>
      <c r="I17" s="246">
        <f t="shared" ref="I17:I40" si="2">G17/E17*367/365</f>
        <v>427421277.01438355</v>
      </c>
      <c r="J17" s="418">
        <f>H17/F17*367/365</f>
        <v>394586289</v>
      </c>
      <c r="K17" s="729"/>
    </row>
    <row r="18" spans="1:11" s="390" customFormat="1" ht="15.75">
      <c r="A18" s="245">
        <v>2</v>
      </c>
      <c r="B18" s="389" t="s">
        <v>556</v>
      </c>
      <c r="C18" s="245" t="s">
        <v>548</v>
      </c>
      <c r="D18" s="245">
        <v>1</v>
      </c>
      <c r="E18" s="245">
        <v>20</v>
      </c>
      <c r="F18" s="245">
        <v>15</v>
      </c>
      <c r="G18" s="246">
        <v>20244225680</v>
      </c>
      <c r="H18" s="246">
        <v>14016780951</v>
      </c>
      <c r="I18" s="246">
        <f t="shared" si="2"/>
        <v>1017757647.2</v>
      </c>
      <c r="J18" s="418">
        <f>H18/F18*367/365</f>
        <v>939572348.67890406</v>
      </c>
      <c r="K18" s="730"/>
    </row>
    <row r="19" spans="1:11" ht="15.75">
      <c r="A19" s="281" t="s">
        <v>243</v>
      </c>
      <c r="B19" s="297" t="s">
        <v>557</v>
      </c>
      <c r="C19" s="383"/>
      <c r="D19" s="180"/>
      <c r="E19" s="180"/>
      <c r="F19" s="180"/>
      <c r="G19" s="385">
        <f>SUM(G20:G23)</f>
        <v>3605548776</v>
      </c>
      <c r="H19" s="385">
        <f>SUM(H20:H23)</f>
        <v>2496424817.2145476</v>
      </c>
      <c r="I19" s="385">
        <f>SUM(I20:I23)</f>
        <v>181265260.38246575</v>
      </c>
      <c r="J19" s="385">
        <f>SUM(J20:J23)</f>
        <v>125505192.86544368</v>
      </c>
      <c r="K19" s="744"/>
    </row>
    <row r="20" spans="1:11" ht="15.75">
      <c r="A20" s="300">
        <v>1</v>
      </c>
      <c r="B20" s="386" t="s">
        <v>558</v>
      </c>
      <c r="C20" s="227" t="s">
        <v>548</v>
      </c>
      <c r="D20" s="227">
        <v>1</v>
      </c>
      <c r="E20" s="227">
        <v>20</v>
      </c>
      <c r="F20" s="227">
        <v>20</v>
      </c>
      <c r="G20" s="387">
        <v>2151280266</v>
      </c>
      <c r="H20" s="387">
        <v>1489512354.0855319</v>
      </c>
      <c r="I20" s="246">
        <f t="shared" si="2"/>
        <v>108153405.15369862</v>
      </c>
      <c r="J20" s="415">
        <f>H20/F20*367/365</f>
        <v>74883703.280738384</v>
      </c>
      <c r="K20" s="745"/>
    </row>
    <row r="21" spans="1:11" ht="15.75">
      <c r="A21" s="300">
        <v>2</v>
      </c>
      <c r="B21" s="386" t="s">
        <v>559</v>
      </c>
      <c r="C21" s="227" t="s">
        <v>548</v>
      </c>
      <c r="D21" s="227">
        <v>1</v>
      </c>
      <c r="E21" s="227">
        <v>20</v>
      </c>
      <c r="F21" s="227">
        <v>20</v>
      </c>
      <c r="G21" s="387">
        <v>201294012</v>
      </c>
      <c r="H21" s="387">
        <v>139372782.8676621</v>
      </c>
      <c r="I21" s="246">
        <f t="shared" si="2"/>
        <v>10119849.644383561</v>
      </c>
      <c r="J21" s="415">
        <f t="shared" ref="J21:J23" si="3">H21/F21*367/365</f>
        <v>7006823.4674564376</v>
      </c>
      <c r="K21" s="745"/>
    </row>
    <row r="22" spans="1:11" s="416" customFormat="1" ht="15.75">
      <c r="A22" s="300">
        <v>3</v>
      </c>
      <c r="B22" s="232" t="s">
        <v>560</v>
      </c>
      <c r="C22" s="413" t="s">
        <v>548</v>
      </c>
      <c r="D22" s="227">
        <v>1</v>
      </c>
      <c r="E22" s="413">
        <v>20</v>
      </c>
      <c r="F22" s="413">
        <v>20</v>
      </c>
      <c r="G22" s="414">
        <v>792486732</v>
      </c>
      <c r="H22" s="414">
        <v>548705250.71855569</v>
      </c>
      <c r="I22" s="246">
        <f t="shared" si="2"/>
        <v>39841456.252602741</v>
      </c>
      <c r="J22" s="415">
        <f t="shared" si="3"/>
        <v>27585592.741604101</v>
      </c>
      <c r="K22" s="745"/>
    </row>
    <row r="23" spans="1:11" s="416" customFormat="1" ht="15.75">
      <c r="A23" s="300">
        <v>4</v>
      </c>
      <c r="B23" s="232" t="s">
        <v>561</v>
      </c>
      <c r="C23" s="413" t="s">
        <v>548</v>
      </c>
      <c r="D23" s="227">
        <v>1</v>
      </c>
      <c r="E23" s="413">
        <v>20</v>
      </c>
      <c r="F23" s="413">
        <v>20</v>
      </c>
      <c r="G23" s="414">
        <v>460487766</v>
      </c>
      <c r="H23" s="414">
        <f>[7]THXL!$H$8</f>
        <v>318834429.54279774</v>
      </c>
      <c r="I23" s="246">
        <f t="shared" si="2"/>
        <v>23150549.331780825</v>
      </c>
      <c r="J23" s="415">
        <f t="shared" si="3"/>
        <v>16029073.375644762</v>
      </c>
      <c r="K23" s="746"/>
    </row>
    <row r="24" spans="1:11" s="390" customFormat="1" ht="15.75">
      <c r="A24" s="419" t="s">
        <v>562</v>
      </c>
      <c r="B24" s="420" t="s">
        <v>563</v>
      </c>
      <c r="C24" s="421"/>
      <c r="D24" s="422"/>
      <c r="E24" s="422"/>
      <c r="F24" s="422"/>
      <c r="G24" s="423">
        <f>SUM(G25:G38)</f>
        <v>11238470154</v>
      </c>
      <c r="H24" s="423">
        <f>SUM(H25:H38)</f>
        <v>7781338583.643055</v>
      </c>
      <c r="I24" s="423">
        <f>SUM(I25:I38)</f>
        <v>551963362.86953425</v>
      </c>
      <c r="J24" s="423">
        <f>SUM(J25:J38)</f>
        <v>537746640.51805878</v>
      </c>
      <c r="K24" s="422"/>
    </row>
    <row r="25" spans="1:11" s="429" customFormat="1" ht="15.75">
      <c r="A25" s="425">
        <v>1</v>
      </c>
      <c r="B25" s="347" t="s">
        <v>564</v>
      </c>
      <c r="C25" s="426" t="s">
        <v>565</v>
      </c>
      <c r="D25" s="425"/>
      <c r="E25" s="425">
        <v>25</v>
      </c>
      <c r="F25" s="425">
        <v>8</v>
      </c>
      <c r="G25" s="427">
        <v>397638109</v>
      </c>
      <c r="H25" s="427">
        <v>275318323.51691777</v>
      </c>
      <c r="I25" s="246">
        <f t="shared" si="2"/>
        <v>15992677.918136986</v>
      </c>
      <c r="J25" s="428">
        <f>H25/F25*367/365</f>
        <v>34603364.633804388</v>
      </c>
      <c r="K25" s="425"/>
    </row>
    <row r="26" spans="1:11" s="429" customFormat="1" ht="15.75">
      <c r="A26" s="425">
        <v>2</v>
      </c>
      <c r="B26" s="347" t="s">
        <v>634</v>
      </c>
      <c r="C26" s="426"/>
      <c r="D26" s="425"/>
      <c r="E26" s="425"/>
      <c r="F26" s="425"/>
      <c r="G26" s="427"/>
      <c r="H26" s="427"/>
      <c r="I26" s="427"/>
      <c r="J26" s="428"/>
      <c r="K26" s="425"/>
    </row>
    <row r="27" spans="1:11" s="429" customFormat="1" ht="15.75">
      <c r="A27" s="425" t="s">
        <v>47</v>
      </c>
      <c r="B27" s="347" t="s">
        <v>566</v>
      </c>
      <c r="C27" s="425" t="s">
        <v>548</v>
      </c>
      <c r="D27" s="425"/>
      <c r="E27" s="425">
        <v>20</v>
      </c>
      <c r="F27" s="245">
        <v>15</v>
      </c>
      <c r="G27" s="427">
        <v>425428685</v>
      </c>
      <c r="H27" s="427">
        <v>294560077.33011222</v>
      </c>
      <c r="I27" s="246">
        <f t="shared" si="2"/>
        <v>21387990.054109588</v>
      </c>
      <c r="J27" s="428">
        <f>H27/F27*367/365</f>
        <v>19744940.34340661</v>
      </c>
      <c r="K27" s="425"/>
    </row>
    <row r="28" spans="1:11" s="429" customFormat="1" ht="15.75">
      <c r="A28" s="425" t="s">
        <v>48</v>
      </c>
      <c r="B28" s="347" t="s">
        <v>90</v>
      </c>
      <c r="C28" s="425" t="s">
        <v>548</v>
      </c>
      <c r="D28" s="425"/>
      <c r="E28" s="425">
        <v>10</v>
      </c>
      <c r="F28" s="245">
        <v>15</v>
      </c>
      <c r="G28" s="427">
        <v>163864722</v>
      </c>
      <c r="H28" s="427">
        <v>113457336.22495425</v>
      </c>
      <c r="I28" s="246">
        <f t="shared" si="2"/>
        <v>16476261.088767122</v>
      </c>
      <c r="J28" s="428">
        <f t="shared" ref="J28:J38" si="4">H28/F28*367/365</f>
        <v>7605268.0172709059</v>
      </c>
      <c r="K28" s="425"/>
    </row>
    <row r="29" spans="1:11" s="429" customFormat="1" ht="15.75">
      <c r="A29" s="425" t="s">
        <v>131</v>
      </c>
      <c r="B29" s="347" t="s">
        <v>567</v>
      </c>
      <c r="C29" s="425" t="s">
        <v>548</v>
      </c>
      <c r="D29" s="425"/>
      <c r="E29" s="425">
        <v>10</v>
      </c>
      <c r="F29" s="245">
        <v>15</v>
      </c>
      <c r="G29" s="427">
        <v>127462199</v>
      </c>
      <c r="H29" s="427">
        <v>88252806.010205597</v>
      </c>
      <c r="I29" s="246">
        <f t="shared" si="2"/>
        <v>12816062.200821918</v>
      </c>
      <c r="J29" s="428">
        <f t="shared" si="4"/>
        <v>5915758.8686293066</v>
      </c>
      <c r="K29" s="425"/>
    </row>
    <row r="30" spans="1:11" s="429" customFormat="1" ht="15.75">
      <c r="A30" s="425" t="s">
        <v>49</v>
      </c>
      <c r="B30" s="347" t="s">
        <v>568</v>
      </c>
      <c r="C30" s="425" t="s">
        <v>548</v>
      </c>
      <c r="D30" s="425"/>
      <c r="E30" s="425">
        <v>20</v>
      </c>
      <c r="F30" s="245">
        <v>15</v>
      </c>
      <c r="G30" s="427">
        <v>67893663</v>
      </c>
      <c r="H30" s="427">
        <v>47008496.299218252</v>
      </c>
      <c r="I30" s="246">
        <f t="shared" si="2"/>
        <v>3413284.1535616438</v>
      </c>
      <c r="J30" s="428">
        <f t="shared" si="4"/>
        <v>3151071.8067238531</v>
      </c>
      <c r="K30" s="747"/>
    </row>
    <row r="31" spans="1:11" s="429" customFormat="1" ht="15.75">
      <c r="A31" s="425" t="s">
        <v>50</v>
      </c>
      <c r="B31" s="347" t="s">
        <v>569</v>
      </c>
      <c r="C31" s="425" t="s">
        <v>548</v>
      </c>
      <c r="D31" s="425"/>
      <c r="E31" s="425">
        <v>20</v>
      </c>
      <c r="F31" s="245">
        <v>15</v>
      </c>
      <c r="G31" s="427">
        <v>83205435</v>
      </c>
      <c r="H31" s="427">
        <v>57610124.495222516</v>
      </c>
      <c r="I31" s="246">
        <f t="shared" si="2"/>
        <v>4183067.7595890411</v>
      </c>
      <c r="J31" s="428">
        <f t="shared" si="4"/>
        <v>3861719.7606843221</v>
      </c>
      <c r="K31" s="748"/>
    </row>
    <row r="32" spans="1:11" s="429" customFormat="1" ht="15.75">
      <c r="A32" s="425" t="s">
        <v>135</v>
      </c>
      <c r="B32" s="347" t="s">
        <v>570</v>
      </c>
      <c r="C32" s="425" t="s">
        <v>548</v>
      </c>
      <c r="D32" s="256"/>
      <c r="E32" s="425">
        <v>20</v>
      </c>
      <c r="F32" s="245">
        <v>15</v>
      </c>
      <c r="G32" s="427">
        <v>502369096</v>
      </c>
      <c r="H32" s="427">
        <v>347832398.55239809</v>
      </c>
      <c r="I32" s="246">
        <f t="shared" si="2"/>
        <v>25256090.168767124</v>
      </c>
      <c r="J32" s="428">
        <f t="shared" si="4"/>
        <v>23315888.633558005</v>
      </c>
      <c r="K32" s="748"/>
    </row>
    <row r="33" spans="1:11" s="429" customFormat="1" ht="15.75">
      <c r="A33" s="425" t="s">
        <v>136</v>
      </c>
      <c r="B33" s="347" t="s">
        <v>571</v>
      </c>
      <c r="C33" s="425" t="s">
        <v>548</v>
      </c>
      <c r="D33" s="425"/>
      <c r="E33" s="425">
        <v>20</v>
      </c>
      <c r="F33" s="245">
        <v>15</v>
      </c>
      <c r="G33" s="427">
        <v>202707756</v>
      </c>
      <c r="H33" s="427">
        <v>140351637.15333232</v>
      </c>
      <c r="I33" s="246">
        <f t="shared" si="2"/>
        <v>10190924.17150685</v>
      </c>
      <c r="J33" s="428">
        <f t="shared" si="4"/>
        <v>9408045.8146617282</v>
      </c>
      <c r="K33" s="749"/>
    </row>
    <row r="34" spans="1:11" s="429" customFormat="1" ht="15.75">
      <c r="A34" s="425" t="s">
        <v>138</v>
      </c>
      <c r="B34" s="347" t="s">
        <v>572</v>
      </c>
      <c r="C34" s="425" t="s">
        <v>548</v>
      </c>
      <c r="D34" s="425"/>
      <c r="E34" s="425">
        <v>50</v>
      </c>
      <c r="F34" s="245">
        <v>15</v>
      </c>
      <c r="G34" s="427">
        <v>785269484</v>
      </c>
      <c r="H34" s="427">
        <v>543708142.63912344</v>
      </c>
      <c r="I34" s="246">
        <f t="shared" si="2"/>
        <v>15791446.609753422</v>
      </c>
      <c r="J34" s="428">
        <f t="shared" si="4"/>
        <v>36445824.355901055</v>
      </c>
      <c r="K34" s="430"/>
    </row>
    <row r="35" spans="1:11" s="429" customFormat="1" ht="15.75">
      <c r="A35" s="425" t="s">
        <v>635</v>
      </c>
      <c r="B35" s="347" t="s">
        <v>573</v>
      </c>
      <c r="C35" s="426" t="s">
        <v>574</v>
      </c>
      <c r="D35" s="425"/>
      <c r="E35" s="425">
        <v>20</v>
      </c>
      <c r="F35" s="245">
        <v>15</v>
      </c>
      <c r="G35" s="427">
        <v>500559678</v>
      </c>
      <c r="H35" s="427">
        <v>346579586</v>
      </c>
      <c r="I35" s="246">
        <f t="shared" si="2"/>
        <v>25165123.537808217</v>
      </c>
      <c r="J35" s="428">
        <f t="shared" si="4"/>
        <v>23231910.148310505</v>
      </c>
      <c r="K35" s="748"/>
    </row>
    <row r="36" spans="1:11" s="429" customFormat="1" ht="15.75">
      <c r="A36" s="425" t="s">
        <v>636</v>
      </c>
      <c r="B36" s="347" t="s">
        <v>575</v>
      </c>
      <c r="C36" s="425" t="s">
        <v>548</v>
      </c>
      <c r="D36" s="425"/>
      <c r="E36" s="425">
        <v>20</v>
      </c>
      <c r="F36" s="245">
        <v>15</v>
      </c>
      <c r="G36" s="427">
        <v>1560825448</v>
      </c>
      <c r="H36" s="427">
        <v>1080690798.2637606</v>
      </c>
      <c r="I36" s="246">
        <f t="shared" si="2"/>
        <v>78468895.810410962</v>
      </c>
      <c r="J36" s="428">
        <f t="shared" si="4"/>
        <v>72440826.111926973</v>
      </c>
      <c r="K36" s="748"/>
    </row>
    <row r="37" spans="1:11" s="429" customFormat="1" ht="15.75">
      <c r="A37" s="425" t="s">
        <v>637</v>
      </c>
      <c r="B37" s="347" t="s">
        <v>576</v>
      </c>
      <c r="C37" s="425" t="s">
        <v>548</v>
      </c>
      <c r="D37" s="425"/>
      <c r="E37" s="425">
        <v>20</v>
      </c>
      <c r="F37" s="245">
        <v>15</v>
      </c>
      <c r="G37" s="427">
        <v>211544636</v>
      </c>
      <c r="H37" s="427">
        <v>146470152.46065357</v>
      </c>
      <c r="I37" s="246">
        <f t="shared" si="2"/>
        <v>10635189.234520549</v>
      </c>
      <c r="J37" s="428">
        <f t="shared" si="4"/>
        <v>9818181.9092346784</v>
      </c>
      <c r="K37" s="748"/>
    </row>
    <row r="38" spans="1:11" s="429" customFormat="1" ht="31.5">
      <c r="A38" s="425" t="s">
        <v>638</v>
      </c>
      <c r="B38" s="347" t="s">
        <v>577</v>
      </c>
      <c r="C38" s="426" t="s">
        <v>574</v>
      </c>
      <c r="D38" s="256"/>
      <c r="E38" s="425">
        <v>20</v>
      </c>
      <c r="F38" s="245">
        <v>15</v>
      </c>
      <c r="G38" s="427">
        <v>6209701243</v>
      </c>
      <c r="H38" s="427">
        <v>4299498704.697156</v>
      </c>
      <c r="I38" s="246">
        <f t="shared" si="2"/>
        <v>312186350.16178077</v>
      </c>
      <c r="J38" s="428">
        <f t="shared" si="4"/>
        <v>288203840.11394638</v>
      </c>
      <c r="K38" s="749"/>
    </row>
    <row r="39" spans="1:11" s="390" customFormat="1" ht="15.75">
      <c r="A39" s="422" t="s">
        <v>51</v>
      </c>
      <c r="B39" s="431" t="s">
        <v>578</v>
      </c>
      <c r="C39" s="421"/>
      <c r="D39" s="422"/>
      <c r="E39" s="422"/>
      <c r="F39" s="422"/>
      <c r="G39" s="385">
        <v>11104722961</v>
      </c>
      <c r="H39" s="423">
        <f>H40+H60+H61</f>
        <v>5184188692.4731007</v>
      </c>
      <c r="I39" s="423">
        <f>I40+I60+I61</f>
        <v>1049434358.5801371</v>
      </c>
      <c r="J39" s="423">
        <f>J40+J60+J61</f>
        <v>1034609051.84556</v>
      </c>
      <c r="K39" s="422"/>
    </row>
    <row r="40" spans="1:11" s="390" customFormat="1" ht="15.75">
      <c r="A40" s="245">
        <v>1</v>
      </c>
      <c r="B40" s="389" t="s">
        <v>611</v>
      </c>
      <c r="C40" s="245" t="s">
        <v>548</v>
      </c>
      <c r="D40" s="245"/>
      <c r="E40" s="245">
        <v>8</v>
      </c>
      <c r="F40" s="245"/>
      <c r="G40" s="246">
        <v>7640684275</v>
      </c>
      <c r="H40" s="246">
        <f>SUM(H41:H59)</f>
        <v>4693261545.454546</v>
      </c>
      <c r="I40" s="246">
        <f t="shared" si="2"/>
        <v>960318879.76883566</v>
      </c>
      <c r="J40" s="418">
        <f>SUM(J41:J59)</f>
        <v>935885620.08895206</v>
      </c>
      <c r="K40" s="728"/>
    </row>
    <row r="41" spans="1:11" s="390" customFormat="1" ht="15.75">
      <c r="A41" s="432" t="s">
        <v>25</v>
      </c>
      <c r="B41" s="389" t="s">
        <v>610</v>
      </c>
      <c r="C41" s="245" t="s">
        <v>4</v>
      </c>
      <c r="D41" s="245">
        <v>2</v>
      </c>
      <c r="E41" s="245"/>
      <c r="F41" s="245">
        <v>5</v>
      </c>
      <c r="G41" s="246"/>
      <c r="H41" s="246">
        <v>340000000</v>
      </c>
      <c r="I41" s="246"/>
      <c r="J41" s="418">
        <f>H41/F41*367/365</f>
        <v>68372602.739726022</v>
      </c>
      <c r="K41" s="729"/>
    </row>
    <row r="42" spans="1:11" s="390" customFormat="1" ht="15.75">
      <c r="A42" s="432" t="s">
        <v>25</v>
      </c>
      <c r="B42" s="389" t="s">
        <v>612</v>
      </c>
      <c r="C42" s="245" t="s">
        <v>12</v>
      </c>
      <c r="D42" s="245">
        <v>1</v>
      </c>
      <c r="E42" s="433"/>
      <c r="F42" s="245">
        <v>5</v>
      </c>
      <c r="G42" s="246"/>
      <c r="H42" s="246">
        <v>42000000</v>
      </c>
      <c r="I42" s="246"/>
      <c r="J42" s="418">
        <f t="shared" ref="J42:J61" si="5">H42/F42*367/365</f>
        <v>8446027.3972602747</v>
      </c>
      <c r="K42" s="729"/>
    </row>
    <row r="43" spans="1:11" s="390" customFormat="1" ht="15.75">
      <c r="A43" s="432" t="s">
        <v>25</v>
      </c>
      <c r="B43" s="389" t="s">
        <v>632</v>
      </c>
      <c r="C43" s="245" t="s">
        <v>4</v>
      </c>
      <c r="D43" s="245" t="s">
        <v>613</v>
      </c>
      <c r="E43" s="433"/>
      <c r="F43" s="245">
        <v>5</v>
      </c>
      <c r="G43" s="246"/>
      <c r="H43" s="246">
        <v>350000000</v>
      </c>
      <c r="I43" s="246"/>
      <c r="J43" s="418">
        <f t="shared" si="5"/>
        <v>70383561.643835619</v>
      </c>
      <c r="K43" s="729"/>
    </row>
    <row r="44" spans="1:11" s="390" customFormat="1" ht="15.75">
      <c r="A44" s="432" t="s">
        <v>25</v>
      </c>
      <c r="B44" s="389" t="s">
        <v>614</v>
      </c>
      <c r="C44" s="245" t="s">
        <v>4</v>
      </c>
      <c r="D44" s="245" t="s">
        <v>615</v>
      </c>
      <c r="E44" s="433"/>
      <c r="F44" s="245">
        <v>7</v>
      </c>
      <c r="G44" s="246"/>
      <c r="H44" s="246">
        <v>59999999.999999993</v>
      </c>
      <c r="I44" s="246"/>
      <c r="J44" s="418">
        <f t="shared" si="5"/>
        <v>8618395.3033268098</v>
      </c>
      <c r="K44" s="729"/>
    </row>
    <row r="45" spans="1:11" s="390" customFormat="1" ht="15.75">
      <c r="A45" s="432" t="s">
        <v>25</v>
      </c>
      <c r="B45" s="389" t="s">
        <v>616</v>
      </c>
      <c r="C45" s="245" t="s">
        <v>4</v>
      </c>
      <c r="D45" s="245">
        <v>2</v>
      </c>
      <c r="E45" s="433"/>
      <c r="F45" s="245">
        <v>5</v>
      </c>
      <c r="G45" s="246"/>
      <c r="H45" s="246">
        <v>901065999.99999988</v>
      </c>
      <c r="I45" s="246"/>
      <c r="J45" s="418">
        <f t="shared" si="5"/>
        <v>181200669.58904108</v>
      </c>
      <c r="K45" s="729"/>
    </row>
    <row r="46" spans="1:11" s="390" customFormat="1" ht="15.75">
      <c r="A46" s="432" t="s">
        <v>25</v>
      </c>
      <c r="B46" s="389" t="s">
        <v>616</v>
      </c>
      <c r="C46" s="245" t="s">
        <v>4</v>
      </c>
      <c r="D46" s="245">
        <v>2</v>
      </c>
      <c r="E46" s="433"/>
      <c r="F46" s="245">
        <v>5</v>
      </c>
      <c r="G46" s="246"/>
      <c r="H46" s="246">
        <v>1023937999.9999999</v>
      </c>
      <c r="I46" s="246"/>
      <c r="J46" s="418">
        <f t="shared" si="5"/>
        <v>205909723.83561641</v>
      </c>
      <c r="K46" s="729"/>
    </row>
    <row r="47" spans="1:11" s="390" customFormat="1" ht="15.75">
      <c r="A47" s="432" t="s">
        <v>25</v>
      </c>
      <c r="B47" s="389" t="s">
        <v>617</v>
      </c>
      <c r="C47" s="245" t="s">
        <v>4</v>
      </c>
      <c r="D47" s="245">
        <v>2</v>
      </c>
      <c r="E47" s="433"/>
      <c r="F47" s="245">
        <v>5</v>
      </c>
      <c r="G47" s="246"/>
      <c r="H47" s="246">
        <v>630746000</v>
      </c>
      <c r="I47" s="246"/>
      <c r="J47" s="418">
        <f t="shared" si="5"/>
        <v>126840428.49315068</v>
      </c>
      <c r="K47" s="729"/>
    </row>
    <row r="48" spans="1:11" s="390" customFormat="1" ht="15.75">
      <c r="A48" s="432" t="s">
        <v>25</v>
      </c>
      <c r="B48" s="389" t="s">
        <v>618</v>
      </c>
      <c r="C48" s="245" t="s">
        <v>4</v>
      </c>
      <c r="D48" s="245">
        <v>3</v>
      </c>
      <c r="E48" s="433"/>
      <c r="F48" s="245">
        <v>5</v>
      </c>
      <c r="G48" s="246"/>
      <c r="H48" s="246">
        <v>204545454.5454545</v>
      </c>
      <c r="I48" s="246"/>
      <c r="J48" s="418">
        <f t="shared" si="5"/>
        <v>41133250.311332494</v>
      </c>
      <c r="K48" s="729"/>
    </row>
    <row r="49" spans="1:11" s="390" customFormat="1" ht="15.75">
      <c r="A49" s="432" t="s">
        <v>25</v>
      </c>
      <c r="B49" s="389" t="s">
        <v>619</v>
      </c>
      <c r="C49" s="245" t="s">
        <v>12</v>
      </c>
      <c r="D49" s="245">
        <v>3</v>
      </c>
      <c r="E49" s="433"/>
      <c r="F49" s="245">
        <v>5</v>
      </c>
      <c r="G49" s="246"/>
      <c r="H49" s="246">
        <v>69353999.999999985</v>
      </c>
      <c r="I49" s="246"/>
      <c r="J49" s="418">
        <f t="shared" si="5"/>
        <v>13946804.383561641</v>
      </c>
      <c r="K49" s="729"/>
    </row>
    <row r="50" spans="1:11" s="390" customFormat="1" ht="15.75">
      <c r="A50" s="432" t="s">
        <v>25</v>
      </c>
      <c r="B50" s="389" t="s">
        <v>620</v>
      </c>
      <c r="C50" s="245" t="s">
        <v>4</v>
      </c>
      <c r="D50" s="245" t="s">
        <v>621</v>
      </c>
      <c r="E50" s="433"/>
      <c r="F50" s="245">
        <v>7</v>
      </c>
      <c r="G50" s="246"/>
      <c r="H50" s="246">
        <v>45454545.454545453</v>
      </c>
      <c r="I50" s="246"/>
      <c r="J50" s="418">
        <f t="shared" si="5"/>
        <v>6529087.3510051584</v>
      </c>
      <c r="K50" s="729"/>
    </row>
    <row r="51" spans="1:11" s="390" customFormat="1" ht="15.75">
      <c r="A51" s="432" t="s">
        <v>25</v>
      </c>
      <c r="B51" s="389" t="s">
        <v>622</v>
      </c>
      <c r="C51" s="245" t="s">
        <v>4</v>
      </c>
      <c r="D51" s="245" t="s">
        <v>615</v>
      </c>
      <c r="E51" s="433"/>
      <c r="F51" s="245">
        <v>10</v>
      </c>
      <c r="G51" s="246"/>
      <c r="H51" s="246">
        <v>5454545.4545454541</v>
      </c>
      <c r="I51" s="246"/>
      <c r="J51" s="418">
        <f t="shared" si="5"/>
        <v>548443.33748443332</v>
      </c>
      <c r="K51" s="729"/>
    </row>
    <row r="52" spans="1:11" s="390" customFormat="1" ht="15.75">
      <c r="A52" s="432" t="s">
        <v>25</v>
      </c>
      <c r="B52" s="389" t="s">
        <v>623</v>
      </c>
      <c r="C52" s="245" t="s">
        <v>4</v>
      </c>
      <c r="D52" s="245" t="s">
        <v>624</v>
      </c>
      <c r="E52" s="433"/>
      <c r="F52" s="245">
        <v>10</v>
      </c>
      <c r="G52" s="246"/>
      <c r="H52" s="246">
        <v>5454545.4545454541</v>
      </c>
      <c r="I52" s="246"/>
      <c r="J52" s="418">
        <f t="shared" si="5"/>
        <v>548443.33748443332</v>
      </c>
      <c r="K52" s="729"/>
    </row>
    <row r="53" spans="1:11" s="390" customFormat="1" ht="15.75">
      <c r="A53" s="432" t="s">
        <v>25</v>
      </c>
      <c r="B53" s="389" t="s">
        <v>633</v>
      </c>
      <c r="C53" s="245" t="s">
        <v>4</v>
      </c>
      <c r="D53" s="245">
        <v>2</v>
      </c>
      <c r="E53" s="433"/>
      <c r="F53" s="245">
        <v>8</v>
      </c>
      <c r="G53" s="246"/>
      <c r="H53" s="246">
        <v>10000000</v>
      </c>
      <c r="I53" s="246"/>
      <c r="J53" s="418">
        <f t="shared" si="5"/>
        <v>1256849.3150684931</v>
      </c>
      <c r="K53" s="729"/>
    </row>
    <row r="54" spans="1:11" s="390" customFormat="1" ht="15.75">
      <c r="A54" s="432" t="s">
        <v>25</v>
      </c>
      <c r="B54" s="389" t="s">
        <v>625</v>
      </c>
      <c r="C54" s="245" t="s">
        <v>631</v>
      </c>
      <c r="D54" s="245">
        <v>20</v>
      </c>
      <c r="E54" s="433"/>
      <c r="F54" s="245">
        <v>5</v>
      </c>
      <c r="G54" s="246"/>
      <c r="H54" s="246">
        <v>9000000</v>
      </c>
      <c r="I54" s="246"/>
      <c r="J54" s="418">
        <f t="shared" si="5"/>
        <v>1809863.01369863</v>
      </c>
      <c r="K54" s="729"/>
    </row>
    <row r="55" spans="1:11" s="390" customFormat="1" ht="15.75">
      <c r="A55" s="432" t="s">
        <v>25</v>
      </c>
      <c r="B55" s="389" t="s">
        <v>626</v>
      </c>
      <c r="C55" s="245" t="s">
        <v>4</v>
      </c>
      <c r="D55" s="245">
        <v>1</v>
      </c>
      <c r="E55" s="433"/>
      <c r="F55" s="245">
        <v>5</v>
      </c>
      <c r="G55" s="246"/>
      <c r="H55" s="246">
        <v>333540000</v>
      </c>
      <c r="I55" s="246"/>
      <c r="J55" s="418">
        <f t="shared" si="5"/>
        <v>67073523.287671231</v>
      </c>
      <c r="K55" s="729"/>
    </row>
    <row r="56" spans="1:11" s="390" customFormat="1" ht="15.75">
      <c r="A56" s="432" t="s">
        <v>25</v>
      </c>
      <c r="B56" s="389" t="s">
        <v>627</v>
      </c>
      <c r="C56" s="245" t="s">
        <v>4</v>
      </c>
      <c r="D56" s="245">
        <v>1</v>
      </c>
      <c r="E56" s="433"/>
      <c r="F56" s="245">
        <v>5</v>
      </c>
      <c r="G56" s="246"/>
      <c r="H56" s="246">
        <v>378171000</v>
      </c>
      <c r="I56" s="246"/>
      <c r="J56" s="418">
        <f t="shared" si="5"/>
        <v>76048633.97260274</v>
      </c>
      <c r="K56" s="729"/>
    </row>
    <row r="57" spans="1:11" s="390" customFormat="1" ht="15.75">
      <c r="A57" s="432" t="s">
        <v>25</v>
      </c>
      <c r="B57" s="389" t="s">
        <v>628</v>
      </c>
      <c r="C57" s="245" t="s">
        <v>4</v>
      </c>
      <c r="D57" s="245">
        <v>1</v>
      </c>
      <c r="E57" s="433"/>
      <c r="F57" s="245">
        <v>5</v>
      </c>
      <c r="G57" s="246"/>
      <c r="H57" s="246">
        <v>83752000</v>
      </c>
      <c r="I57" s="246"/>
      <c r="J57" s="418">
        <f t="shared" si="5"/>
        <v>16842183.01369863</v>
      </c>
      <c r="K57" s="729"/>
    </row>
    <row r="58" spans="1:11" s="390" customFormat="1" ht="15.75">
      <c r="A58" s="432" t="s">
        <v>25</v>
      </c>
      <c r="B58" s="389" t="s">
        <v>629</v>
      </c>
      <c r="C58" s="245" t="s">
        <v>4</v>
      </c>
      <c r="D58" s="245">
        <v>1</v>
      </c>
      <c r="E58" s="433"/>
      <c r="F58" s="245">
        <v>5</v>
      </c>
      <c r="G58" s="246"/>
      <c r="H58" s="246">
        <v>113600000</v>
      </c>
      <c r="I58" s="246"/>
      <c r="J58" s="418">
        <f t="shared" si="5"/>
        <v>22844493.15068493</v>
      </c>
      <c r="K58" s="729"/>
    </row>
    <row r="59" spans="1:11" s="390" customFormat="1" ht="15.75">
      <c r="A59" s="432" t="s">
        <v>25</v>
      </c>
      <c r="B59" s="389" t="s">
        <v>630</v>
      </c>
      <c r="C59" s="245" t="s">
        <v>12</v>
      </c>
      <c r="D59" s="245">
        <v>3</v>
      </c>
      <c r="E59" s="433"/>
      <c r="F59" s="245">
        <v>5</v>
      </c>
      <c r="G59" s="246"/>
      <c r="H59" s="246">
        <v>87185454.545454532</v>
      </c>
      <c r="I59" s="246"/>
      <c r="J59" s="418">
        <f t="shared" si="5"/>
        <v>17532636.612702366</v>
      </c>
      <c r="K59" s="729"/>
    </row>
    <row r="60" spans="1:11" s="390" customFormat="1" ht="15.75">
      <c r="A60" s="245">
        <v>2</v>
      </c>
      <c r="B60" s="389" t="s">
        <v>579</v>
      </c>
      <c r="C60" s="245" t="s">
        <v>548</v>
      </c>
      <c r="D60" s="245">
        <v>1</v>
      </c>
      <c r="E60" s="245">
        <v>8</v>
      </c>
      <c r="F60" s="245">
        <v>5</v>
      </c>
      <c r="G60" s="246">
        <v>179613335</v>
      </c>
      <c r="H60" s="246">
        <v>124361426.01855454</v>
      </c>
      <c r="I60" s="246">
        <f t="shared" ref="I60:I61" si="6">G60/E60*367/365</f>
        <v>22574689.70719178</v>
      </c>
      <c r="J60" s="418">
        <f t="shared" si="5"/>
        <v>25008571.697977815</v>
      </c>
      <c r="K60" s="729"/>
    </row>
    <row r="61" spans="1:11" s="390" customFormat="1" ht="15.75">
      <c r="A61" s="245">
        <v>3</v>
      </c>
      <c r="B61" s="389" t="s">
        <v>580</v>
      </c>
      <c r="C61" s="245" t="s">
        <v>548</v>
      </c>
      <c r="D61" s="245">
        <v>1</v>
      </c>
      <c r="E61" s="245">
        <v>8</v>
      </c>
      <c r="F61" s="245">
        <v>5</v>
      </c>
      <c r="G61" s="246">
        <v>529425352</v>
      </c>
      <c r="H61" s="246">
        <v>366565721</v>
      </c>
      <c r="I61" s="246">
        <f t="shared" si="6"/>
        <v>66540789.104109593</v>
      </c>
      <c r="J61" s="418">
        <f t="shared" si="5"/>
        <v>73714860.058630139</v>
      </c>
      <c r="K61" s="730"/>
    </row>
    <row r="62" spans="1:11" s="390" customFormat="1" ht="15.75">
      <c r="A62" s="434"/>
      <c r="B62" s="731" t="s">
        <v>669</v>
      </c>
      <c r="C62" s="733"/>
      <c r="D62" s="245"/>
      <c r="E62" s="245"/>
      <c r="F62" s="245"/>
      <c r="G62" s="435">
        <f>G8+G39</f>
        <v>177690446000</v>
      </c>
      <c r="H62" s="435">
        <f>H8+H39</f>
        <v>120525502618.3307</v>
      </c>
      <c r="I62" s="423">
        <f>I8+I39</f>
        <v>5687754672.3265209</v>
      </c>
      <c r="J62" s="423">
        <f>J8+J39</f>
        <v>9159339212.7300644</v>
      </c>
      <c r="K62" s="245"/>
    </row>
    <row r="63" spans="1:11" s="390" customFormat="1" ht="15.75">
      <c r="A63" s="434"/>
      <c r="B63" s="731" t="s">
        <v>670</v>
      </c>
      <c r="C63" s="732"/>
      <c r="D63" s="733"/>
      <c r="E63" s="245"/>
      <c r="F63" s="245"/>
      <c r="G63" s="435"/>
      <c r="H63" s="435"/>
      <c r="I63" s="423">
        <v>617661</v>
      </c>
      <c r="J63" s="423">
        <f>'VIII.KL rác hoc 7'!D14</f>
        <v>644185</v>
      </c>
      <c r="K63" s="245"/>
    </row>
    <row r="64" spans="1:11" s="390" customFormat="1" ht="15.75">
      <c r="A64" s="436"/>
      <c r="B64" s="731" t="s">
        <v>581</v>
      </c>
      <c r="C64" s="732"/>
      <c r="D64" s="733"/>
      <c r="E64" s="389"/>
      <c r="F64" s="389"/>
      <c r="G64" s="437"/>
      <c r="H64" s="437"/>
      <c r="I64" s="423">
        <f>I62/I63</f>
        <v>9208.5378101037968</v>
      </c>
      <c r="J64" s="423">
        <f>J62/J63</f>
        <v>14218.49191261837</v>
      </c>
      <c r="K64" s="245"/>
    </row>
    <row r="65" spans="7:8" s="390" customFormat="1">
      <c r="G65" s="438"/>
      <c r="H65" s="438"/>
    </row>
    <row r="66" spans="7:8" s="390" customFormat="1"/>
  </sheetData>
  <mergeCells count="20">
    <mergeCell ref="K40:K61"/>
    <mergeCell ref="B63:D63"/>
    <mergeCell ref="B64:D64"/>
    <mergeCell ref="A2:K2"/>
    <mergeCell ref="E5:F5"/>
    <mergeCell ref="C4:C6"/>
    <mergeCell ref="B4:B6"/>
    <mergeCell ref="A4:A6"/>
    <mergeCell ref="B62:C62"/>
    <mergeCell ref="I4:J5"/>
    <mergeCell ref="K9:K15"/>
    <mergeCell ref="K16:K18"/>
    <mergeCell ref="K19:K23"/>
    <mergeCell ref="K30:K33"/>
    <mergeCell ref="K35:K38"/>
    <mergeCell ref="B1:K1"/>
    <mergeCell ref="K4:K5"/>
    <mergeCell ref="E4:H4"/>
    <mergeCell ref="G5:H5"/>
    <mergeCell ref="D4:D6"/>
  </mergeCells>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selection activeCell="A13" sqref="A13"/>
    </sheetView>
  </sheetViews>
  <sheetFormatPr defaultRowHeight="14.25"/>
  <sheetData>
    <row r="1" spans="1:16">
      <c r="A1" s="31" t="s">
        <v>173</v>
      </c>
    </row>
    <row r="2" spans="1:16">
      <c r="A2" s="31" t="s">
        <v>34</v>
      </c>
    </row>
    <row r="3" spans="1:16">
      <c r="A3" s="32" t="s">
        <v>35</v>
      </c>
    </row>
    <row r="4" spans="1:16">
      <c r="A4" s="33" t="s">
        <v>174</v>
      </c>
    </row>
    <row r="5" spans="1:16">
      <c r="A5" s="33" t="s">
        <v>175</v>
      </c>
    </row>
    <row r="6" spans="1:16">
      <c r="A6" s="33" t="s">
        <v>176</v>
      </c>
    </row>
    <row r="7" spans="1:16">
      <c r="A7" s="33" t="s">
        <v>177</v>
      </c>
    </row>
    <row r="8" spans="1:16">
      <c r="A8" s="33" t="s">
        <v>178</v>
      </c>
    </row>
    <row r="9" spans="1:16">
      <c r="A9" s="33" t="s">
        <v>179</v>
      </c>
    </row>
    <row r="10" spans="1:16">
      <c r="A10" s="33" t="s">
        <v>180</v>
      </c>
    </row>
    <row r="11" spans="1:16">
      <c r="A11" s="33" t="s">
        <v>181</v>
      </c>
      <c r="P11">
        <v>1</v>
      </c>
    </row>
    <row r="12" spans="1:16">
      <c r="A12" s="33" t="s">
        <v>182</v>
      </c>
      <c r="P12">
        <v>1</v>
      </c>
    </row>
    <row r="13" spans="1:16">
      <c r="A13" s="33" t="s">
        <v>183</v>
      </c>
      <c r="P13">
        <v>1</v>
      </c>
    </row>
    <row r="14" spans="1:16">
      <c r="A14" s="33" t="s">
        <v>184</v>
      </c>
    </row>
    <row r="18" spans="1:1">
      <c r="A18" s="33" t="s">
        <v>183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zoomScale="85" zoomScaleNormal="85" workbookViewId="0">
      <selection activeCell="P8" sqref="P8"/>
    </sheetView>
  </sheetViews>
  <sheetFormatPr defaultRowHeight="14.25"/>
  <cols>
    <col min="1" max="1" width="3" bestFit="1" customWidth="1"/>
    <col min="2" max="2" width="22" customWidth="1"/>
    <col min="13" max="13" width="10.375" customWidth="1"/>
    <col min="17" max="17" width="11.375" customWidth="1"/>
  </cols>
  <sheetData>
    <row r="1" spans="1:18">
      <c r="B1" s="27" t="s">
        <v>34</v>
      </c>
    </row>
    <row r="2" spans="1:18" ht="15">
      <c r="B2" s="29" t="s">
        <v>116</v>
      </c>
      <c r="Q2" s="93" t="s">
        <v>326</v>
      </c>
    </row>
    <row r="3" spans="1:18" ht="15">
      <c r="A3" s="23"/>
      <c r="B3" s="23" t="s">
        <v>88</v>
      </c>
      <c r="L3">
        <v>1250</v>
      </c>
      <c r="N3">
        <v>1500</v>
      </c>
      <c r="Q3" s="93" t="s">
        <v>327</v>
      </c>
    </row>
    <row r="4" spans="1:18" ht="13.9" customHeight="1">
      <c r="A4" s="751" t="s">
        <v>37</v>
      </c>
      <c r="B4" s="751" t="s">
        <v>333</v>
      </c>
      <c r="C4" s="751" t="s">
        <v>58</v>
      </c>
      <c r="D4" s="751"/>
      <c r="E4" s="751"/>
      <c r="F4" s="751"/>
      <c r="G4" s="751"/>
      <c r="H4" s="751"/>
      <c r="I4" s="751"/>
      <c r="J4" s="751"/>
      <c r="K4" s="751"/>
      <c r="L4" s="751"/>
      <c r="M4" s="751"/>
      <c r="N4" s="751"/>
      <c r="O4" s="751"/>
      <c r="P4" s="751"/>
      <c r="Q4" s="750" t="s">
        <v>328</v>
      </c>
      <c r="R4" s="750"/>
    </row>
    <row r="5" spans="1:18">
      <c r="A5" s="751"/>
      <c r="B5" s="751"/>
      <c r="C5" s="751" t="s">
        <v>59</v>
      </c>
      <c r="D5" s="751"/>
      <c r="E5" s="751" t="s">
        <v>60</v>
      </c>
      <c r="F5" s="751"/>
      <c r="G5" s="751" t="s">
        <v>61</v>
      </c>
      <c r="H5" s="751"/>
      <c r="I5" s="751" t="s">
        <v>62</v>
      </c>
      <c r="J5" s="751"/>
      <c r="K5" s="751" t="s">
        <v>63</v>
      </c>
      <c r="L5" s="751"/>
      <c r="M5" s="751" t="s">
        <v>64</v>
      </c>
      <c r="N5" s="751"/>
      <c r="O5" s="751" t="s">
        <v>65</v>
      </c>
      <c r="P5" s="751"/>
      <c r="Q5" s="750"/>
      <c r="R5" s="750"/>
    </row>
    <row r="6" spans="1:18">
      <c r="A6" s="751"/>
      <c r="B6" s="751"/>
      <c r="C6" s="98" t="s">
        <v>334</v>
      </c>
      <c r="D6" s="98" t="s">
        <v>20</v>
      </c>
      <c r="E6" s="98" t="s">
        <v>334</v>
      </c>
      <c r="F6" s="98" t="s">
        <v>20</v>
      </c>
      <c r="G6" s="98" t="s">
        <v>334</v>
      </c>
      <c r="H6" s="98" t="s">
        <v>20</v>
      </c>
      <c r="I6" s="98" t="s">
        <v>334</v>
      </c>
      <c r="J6" s="98" t="s">
        <v>20</v>
      </c>
      <c r="K6" s="98" t="s">
        <v>334</v>
      </c>
      <c r="L6" s="98" t="s">
        <v>20</v>
      </c>
      <c r="M6" s="98" t="s">
        <v>334</v>
      </c>
      <c r="N6" s="98" t="s">
        <v>20</v>
      </c>
      <c r="O6" s="98" t="s">
        <v>334</v>
      </c>
      <c r="P6" s="98" t="s">
        <v>20</v>
      </c>
      <c r="Q6" s="98" t="s">
        <v>334</v>
      </c>
      <c r="R6" s="98" t="s">
        <v>20</v>
      </c>
    </row>
    <row r="7" spans="1:18" ht="25.5">
      <c r="A7" s="98" t="s">
        <v>2</v>
      </c>
      <c r="B7" s="104" t="s">
        <v>66</v>
      </c>
      <c r="C7" s="101"/>
      <c r="D7" s="101"/>
      <c r="E7" s="101"/>
      <c r="F7" s="101"/>
      <c r="G7" s="101"/>
      <c r="H7" s="101"/>
      <c r="I7" s="101"/>
      <c r="J7" s="101"/>
      <c r="K7" s="101"/>
      <c r="L7" s="101"/>
      <c r="M7" s="105"/>
      <c r="N7" s="105"/>
      <c r="O7" s="101"/>
      <c r="P7" s="101"/>
      <c r="Q7" s="123"/>
      <c r="R7" s="123"/>
    </row>
    <row r="8" spans="1:18">
      <c r="A8" s="100">
        <v>1</v>
      </c>
      <c r="B8" s="101" t="s">
        <v>67</v>
      </c>
      <c r="C8" s="100" t="s">
        <v>21</v>
      </c>
      <c r="D8" s="100">
        <v>8.0000000000000002E-3</v>
      </c>
      <c r="E8" s="100" t="s">
        <v>21</v>
      </c>
      <c r="F8" s="100">
        <v>2.7000000000000001E-3</v>
      </c>
      <c r="G8" s="100" t="s">
        <v>21</v>
      </c>
      <c r="H8" s="100">
        <v>3.2000000000000002E-3</v>
      </c>
      <c r="I8" s="100" t="s">
        <v>21</v>
      </c>
      <c r="J8" s="100">
        <v>2.3E-3</v>
      </c>
      <c r="K8" s="100" t="s">
        <v>21</v>
      </c>
      <c r="L8" s="100">
        <v>1.8E-3</v>
      </c>
      <c r="M8" s="102" t="s">
        <v>21</v>
      </c>
      <c r="N8" s="102">
        <v>1.5E-3</v>
      </c>
      <c r="O8" s="100" t="s">
        <v>21</v>
      </c>
      <c r="P8" s="100">
        <v>1.5E-3</v>
      </c>
      <c r="Q8" s="102" t="str">
        <f>M8</f>
        <v>01 NC III.IV</v>
      </c>
      <c r="R8" s="102">
        <f>N8</f>
        <v>1.5E-3</v>
      </c>
    </row>
    <row r="9" spans="1:18" ht="25.5">
      <c r="A9" s="100">
        <v>2</v>
      </c>
      <c r="B9" s="101" t="s">
        <v>66</v>
      </c>
      <c r="C9" s="100" t="s">
        <v>22</v>
      </c>
      <c r="D9" s="100">
        <v>3.2499999999999999E-3</v>
      </c>
      <c r="E9" s="100" t="s">
        <v>22</v>
      </c>
      <c r="F9" s="100">
        <v>3.0799999999999998E-3</v>
      </c>
      <c r="G9" s="100" t="s">
        <v>22</v>
      </c>
      <c r="H9" s="100">
        <v>2.4499999999999999E-3</v>
      </c>
      <c r="I9" s="100" t="s">
        <v>22</v>
      </c>
      <c r="J9" s="100">
        <v>2.4299999999999999E-3</v>
      </c>
      <c r="K9" s="100" t="s">
        <v>68</v>
      </c>
      <c r="L9" s="100">
        <v>1.4599999999999999E-3</v>
      </c>
      <c r="M9" s="102" t="s">
        <v>68</v>
      </c>
      <c r="N9" s="102">
        <v>1.4400000000000001E-3</v>
      </c>
      <c r="O9" s="100" t="s">
        <v>68</v>
      </c>
      <c r="P9" s="100">
        <v>1.4400000000000001E-3</v>
      </c>
      <c r="Q9" s="102" t="str">
        <f t="shared" ref="Q9:Q11" si="0">M9</f>
        <v>05 NC III.IV</v>
      </c>
      <c r="R9" s="102">
        <f t="shared" ref="R9:R11" si="1">N9</f>
        <v>1.4400000000000001E-3</v>
      </c>
    </row>
    <row r="10" spans="1:18" ht="38.25">
      <c r="A10" s="100">
        <v>3</v>
      </c>
      <c r="B10" s="101" t="s">
        <v>69</v>
      </c>
      <c r="C10" s="100" t="s">
        <v>21</v>
      </c>
      <c r="D10" s="100">
        <v>8.0000000000000002E-3</v>
      </c>
      <c r="E10" s="100" t="s">
        <v>21</v>
      </c>
      <c r="F10" s="100">
        <v>2.7000000000000001E-3</v>
      </c>
      <c r="G10" s="100" t="s">
        <v>21</v>
      </c>
      <c r="H10" s="100">
        <v>3.2000000000000002E-3</v>
      </c>
      <c r="I10" s="100" t="s">
        <v>21</v>
      </c>
      <c r="J10" s="100">
        <v>2.3E-3</v>
      </c>
      <c r="K10" s="100" t="s">
        <v>21</v>
      </c>
      <c r="L10" s="100">
        <v>1.8E-3</v>
      </c>
      <c r="M10" s="102" t="s">
        <v>70</v>
      </c>
      <c r="N10" s="102">
        <v>1.5E-3</v>
      </c>
      <c r="O10" s="100" t="s">
        <v>21</v>
      </c>
      <c r="P10" s="100">
        <v>1.5E-3</v>
      </c>
      <c r="Q10" s="102" t="str">
        <f t="shared" si="0"/>
        <v>01 NC II.IV</v>
      </c>
      <c r="R10" s="102">
        <f t="shared" si="1"/>
        <v>1.5E-3</v>
      </c>
    </row>
    <row r="11" spans="1:18" ht="51">
      <c r="A11" s="100">
        <v>4</v>
      </c>
      <c r="B11" s="101" t="s">
        <v>71</v>
      </c>
      <c r="C11" s="100" t="s">
        <v>21</v>
      </c>
      <c r="D11" s="100">
        <v>7.5000000000000002E-4</v>
      </c>
      <c r="E11" s="100" t="s">
        <v>21</v>
      </c>
      <c r="F11" s="100">
        <v>6.9999999999999999E-4</v>
      </c>
      <c r="G11" s="100" t="s">
        <v>21</v>
      </c>
      <c r="H11" s="100">
        <v>6.4999999999999997E-4</v>
      </c>
      <c r="I11" s="100" t="s">
        <v>21</v>
      </c>
      <c r="J11" s="100">
        <v>6.4999999999999997E-4</v>
      </c>
      <c r="K11" s="100" t="s">
        <v>38</v>
      </c>
      <c r="L11" s="100">
        <v>5.9999999999999995E-4</v>
      </c>
      <c r="M11" s="102" t="s">
        <v>38</v>
      </c>
      <c r="N11" s="102">
        <v>5.5000000000000003E-4</v>
      </c>
      <c r="O11" s="100" t="s">
        <v>21</v>
      </c>
      <c r="P11" s="100">
        <v>5.0000000000000001E-4</v>
      </c>
      <c r="Q11" s="102" t="str">
        <f t="shared" si="0"/>
        <v>01 NC III.IV</v>
      </c>
      <c r="R11" s="102">
        <f t="shared" si="1"/>
        <v>5.5000000000000003E-4</v>
      </c>
    </row>
    <row r="12" spans="1:18">
      <c r="A12" s="100">
        <v>5</v>
      </c>
      <c r="B12" s="101" t="s">
        <v>72</v>
      </c>
      <c r="C12" s="101"/>
      <c r="D12" s="101"/>
      <c r="E12" s="101"/>
      <c r="F12" s="101"/>
      <c r="G12" s="101"/>
      <c r="H12" s="101"/>
      <c r="I12" s="101"/>
      <c r="J12" s="101"/>
      <c r="K12" s="101"/>
      <c r="L12" s="101"/>
      <c r="M12" s="101"/>
      <c r="N12" s="101"/>
      <c r="O12" s="100" t="s">
        <v>21</v>
      </c>
      <c r="P12" s="100">
        <v>5.0000000000000001E-4</v>
      </c>
      <c r="Q12" s="102">
        <f>M12</f>
        <v>0</v>
      </c>
      <c r="R12" s="102">
        <f>N12</f>
        <v>0</v>
      </c>
    </row>
    <row r="13" spans="1:18">
      <c r="A13" s="98" t="s">
        <v>16</v>
      </c>
      <c r="B13" s="104" t="s">
        <v>73</v>
      </c>
      <c r="C13" s="101"/>
      <c r="D13" s="101"/>
      <c r="E13" s="101"/>
      <c r="F13" s="101"/>
      <c r="G13" s="101"/>
      <c r="H13" s="101"/>
      <c r="I13" s="101"/>
      <c r="J13" s="101"/>
      <c r="K13" s="101"/>
      <c r="L13" s="101"/>
      <c r="M13" s="101"/>
      <c r="N13" s="101"/>
      <c r="O13" s="101"/>
      <c r="P13" s="101"/>
      <c r="Q13" s="101"/>
      <c r="R13" s="123"/>
    </row>
    <row r="14" spans="1:18">
      <c r="A14" s="100">
        <v>6</v>
      </c>
      <c r="B14" s="101" t="s">
        <v>74</v>
      </c>
      <c r="C14" s="100" t="s">
        <v>75</v>
      </c>
      <c r="D14" s="100">
        <v>3.1800000000000001E-3</v>
      </c>
      <c r="E14" s="100" t="s">
        <v>75</v>
      </c>
      <c r="F14" s="100">
        <v>3.16E-3</v>
      </c>
      <c r="G14" s="100" t="s">
        <v>76</v>
      </c>
      <c r="H14" s="100">
        <v>1.81E-3</v>
      </c>
      <c r="I14" s="100" t="s">
        <v>76</v>
      </c>
      <c r="J14" s="100">
        <v>1.8E-3</v>
      </c>
      <c r="K14" s="100" t="s">
        <v>77</v>
      </c>
      <c r="L14" s="100">
        <v>1.5E-3</v>
      </c>
      <c r="M14" s="102" t="s">
        <v>77</v>
      </c>
      <c r="N14" s="102">
        <v>1.5E-3</v>
      </c>
      <c r="O14" s="100" t="s">
        <v>78</v>
      </c>
      <c r="P14" s="100">
        <v>1.6199999999999999E-3</v>
      </c>
      <c r="Q14" s="102" t="str">
        <f t="shared" ref="Q14:Q21" si="2">M14</f>
        <v>15 NC III.IV</v>
      </c>
      <c r="R14" s="102">
        <f t="shared" ref="R14:R21" si="3">N14</f>
        <v>1.5E-3</v>
      </c>
    </row>
    <row r="15" spans="1:18">
      <c r="A15" s="100">
        <v>7</v>
      </c>
      <c r="B15" s="101" t="s">
        <v>79</v>
      </c>
      <c r="C15" s="100" t="s">
        <v>21</v>
      </c>
      <c r="D15" s="100">
        <v>2.8E-3</v>
      </c>
      <c r="E15" s="100" t="s">
        <v>21</v>
      </c>
      <c r="F15" s="100">
        <v>2.7000000000000001E-3</v>
      </c>
      <c r="G15" s="100" t="s">
        <v>21</v>
      </c>
      <c r="H15" s="100">
        <v>2.5999999999999999E-3</v>
      </c>
      <c r="I15" s="100" t="s">
        <v>21</v>
      </c>
      <c r="J15" s="100">
        <v>2.5000000000000001E-3</v>
      </c>
      <c r="K15" s="100" t="s">
        <v>21</v>
      </c>
      <c r="L15" s="100">
        <v>2.2000000000000001E-3</v>
      </c>
      <c r="M15" s="102" t="s">
        <v>21</v>
      </c>
      <c r="N15" s="102">
        <v>2.0999999999999999E-3</v>
      </c>
      <c r="O15" s="100" t="s">
        <v>21</v>
      </c>
      <c r="P15" s="100">
        <v>2.5000000000000001E-3</v>
      </c>
      <c r="Q15" s="102" t="str">
        <f t="shared" si="2"/>
        <v>01 NC III.IV</v>
      </c>
      <c r="R15" s="102">
        <f t="shared" si="3"/>
        <v>2.0999999999999999E-3</v>
      </c>
    </row>
    <row r="16" spans="1:18">
      <c r="A16" s="100">
        <v>8</v>
      </c>
      <c r="B16" s="101" t="s">
        <v>80</v>
      </c>
      <c r="C16" s="100" t="s">
        <v>21</v>
      </c>
      <c r="D16" s="100">
        <v>1.6000000000000001E-3</v>
      </c>
      <c r="E16" s="100" t="s">
        <v>21</v>
      </c>
      <c r="F16" s="100">
        <v>1.5E-3</v>
      </c>
      <c r="G16" s="100" t="s">
        <v>21</v>
      </c>
      <c r="H16" s="100">
        <v>1.4E-3</v>
      </c>
      <c r="I16" s="100" t="s">
        <v>21</v>
      </c>
      <c r="J16" s="100">
        <v>1.4E-3</v>
      </c>
      <c r="K16" s="100" t="s">
        <v>21</v>
      </c>
      <c r="L16" s="100">
        <v>1.2999999999999999E-3</v>
      </c>
      <c r="M16" s="102" t="s">
        <v>21</v>
      </c>
      <c r="N16" s="102">
        <v>1.2999999999999999E-3</v>
      </c>
      <c r="O16" s="100" t="s">
        <v>21</v>
      </c>
      <c r="P16" s="100">
        <v>1.2999999999999999E-3</v>
      </c>
      <c r="Q16" s="102" t="str">
        <f t="shared" si="2"/>
        <v>01 NC III.IV</v>
      </c>
      <c r="R16" s="102">
        <f t="shared" si="3"/>
        <v>1.2999999999999999E-3</v>
      </c>
    </row>
    <row r="17" spans="1:18">
      <c r="A17" s="100">
        <v>9</v>
      </c>
      <c r="B17" s="101" t="s">
        <v>81</v>
      </c>
      <c r="C17" s="100" t="s">
        <v>82</v>
      </c>
      <c r="D17" s="100">
        <v>2.7000000000000001E-3</v>
      </c>
      <c r="E17" s="100" t="s">
        <v>82</v>
      </c>
      <c r="F17" s="100">
        <v>2.5999999999999999E-3</v>
      </c>
      <c r="G17" s="100" t="s">
        <v>82</v>
      </c>
      <c r="H17" s="100">
        <v>2.5999999999999999E-3</v>
      </c>
      <c r="I17" s="100" t="s">
        <v>82</v>
      </c>
      <c r="J17" s="100">
        <v>2.5000000000000001E-3</v>
      </c>
      <c r="K17" s="100" t="s">
        <v>82</v>
      </c>
      <c r="L17" s="100">
        <v>2.5000000000000001E-3</v>
      </c>
      <c r="M17" s="102" t="s">
        <v>82</v>
      </c>
      <c r="N17" s="102">
        <v>2.3999999999999998E-3</v>
      </c>
      <c r="O17" s="100" t="s">
        <v>82</v>
      </c>
      <c r="P17" s="100">
        <v>1.6000000000000001E-3</v>
      </c>
      <c r="Q17" s="102" t="str">
        <f t="shared" si="2"/>
        <v>01 LX II</v>
      </c>
      <c r="R17" s="102">
        <f t="shared" si="3"/>
        <v>2.3999999999999998E-3</v>
      </c>
    </row>
    <row r="18" spans="1:18">
      <c r="A18" s="100">
        <v>10</v>
      </c>
      <c r="B18" s="101" t="s">
        <v>83</v>
      </c>
      <c r="C18" s="100" t="s">
        <v>84</v>
      </c>
      <c r="D18" s="100">
        <v>3.0000000000000001E-3</v>
      </c>
      <c r="E18" s="100" t="s">
        <v>84</v>
      </c>
      <c r="F18" s="100">
        <v>2.5000000000000001E-3</v>
      </c>
      <c r="G18" s="100" t="s">
        <v>84</v>
      </c>
      <c r="H18" s="100">
        <v>2E-3</v>
      </c>
      <c r="I18" s="100" t="s">
        <v>84</v>
      </c>
      <c r="J18" s="100">
        <v>1.5E-3</v>
      </c>
      <c r="K18" s="100" t="s">
        <v>84</v>
      </c>
      <c r="L18" s="100">
        <v>1.5E-3</v>
      </c>
      <c r="M18" s="102" t="s">
        <v>84</v>
      </c>
      <c r="N18" s="102">
        <v>1E-3</v>
      </c>
      <c r="O18" s="100" t="s">
        <v>84</v>
      </c>
      <c r="P18" s="100">
        <v>1.5E-3</v>
      </c>
      <c r="Q18" s="102" t="str">
        <f t="shared" si="2"/>
        <v>01 LX III</v>
      </c>
      <c r="R18" s="102">
        <f t="shared" si="3"/>
        <v>1E-3</v>
      </c>
    </row>
    <row r="19" spans="1:18" ht="63.75">
      <c r="A19" s="100">
        <v>11</v>
      </c>
      <c r="B19" s="101" t="s">
        <v>85</v>
      </c>
      <c r="C19" s="100" t="s">
        <v>21</v>
      </c>
      <c r="D19" s="100">
        <v>1.15E-2</v>
      </c>
      <c r="E19" s="100" t="s">
        <v>21</v>
      </c>
      <c r="F19" s="100">
        <v>1.0500000000000001E-2</v>
      </c>
      <c r="G19" s="100" t="s">
        <v>21</v>
      </c>
      <c r="H19" s="100">
        <v>1.0500000000000001E-2</v>
      </c>
      <c r="I19" s="100" t="s">
        <v>21</v>
      </c>
      <c r="J19" s="100">
        <v>1.0500000000000001E-2</v>
      </c>
      <c r="K19" s="100" t="s">
        <v>21</v>
      </c>
      <c r="L19" s="100">
        <v>5.4999999999999997E-3</v>
      </c>
      <c r="M19" s="102" t="s">
        <v>21</v>
      </c>
      <c r="N19" s="102">
        <v>4.5999999999999999E-3</v>
      </c>
      <c r="O19" s="100" t="s">
        <v>21</v>
      </c>
      <c r="P19" s="100">
        <v>1.5E-3</v>
      </c>
      <c r="Q19" s="102" t="str">
        <f t="shared" si="2"/>
        <v>01 NC III.IV</v>
      </c>
      <c r="R19" s="102">
        <f t="shared" si="3"/>
        <v>4.5999999999999999E-3</v>
      </c>
    </row>
    <row r="20" spans="1:18">
      <c r="A20" s="100">
        <v>12</v>
      </c>
      <c r="B20" s="101" t="s">
        <v>86</v>
      </c>
      <c r="C20" s="100" t="s">
        <v>25</v>
      </c>
      <c r="D20" s="100" t="s">
        <v>25</v>
      </c>
      <c r="E20" s="100" t="s">
        <v>25</v>
      </c>
      <c r="F20" s="100" t="s">
        <v>25</v>
      </c>
      <c r="G20" s="100" t="s">
        <v>25</v>
      </c>
      <c r="H20" s="100" t="s">
        <v>25</v>
      </c>
      <c r="I20" s="100" t="s">
        <v>25</v>
      </c>
      <c r="J20" s="100" t="s">
        <v>25</v>
      </c>
      <c r="K20" s="100" t="s">
        <v>82</v>
      </c>
      <c r="L20" s="100">
        <v>4.0000000000000002E-4</v>
      </c>
      <c r="M20" s="102" t="s">
        <v>82</v>
      </c>
      <c r="N20" s="102">
        <v>3.6000000000000002E-4</v>
      </c>
      <c r="O20" s="100" t="s">
        <v>82</v>
      </c>
      <c r="P20" s="100">
        <v>6.4999999999999997E-4</v>
      </c>
      <c r="Q20" s="102" t="str">
        <f t="shared" si="2"/>
        <v>01 LX II</v>
      </c>
      <c r="R20" s="102">
        <f t="shared" si="3"/>
        <v>3.6000000000000002E-4</v>
      </c>
    </row>
    <row r="21" spans="1:18">
      <c r="A21" s="100">
        <v>13</v>
      </c>
      <c r="B21" s="101" t="s">
        <v>87</v>
      </c>
      <c r="C21" s="100" t="s">
        <v>25</v>
      </c>
      <c r="D21" s="100" t="s">
        <v>25</v>
      </c>
      <c r="E21" s="100" t="s">
        <v>25</v>
      </c>
      <c r="F21" s="100" t="s">
        <v>25</v>
      </c>
      <c r="G21" s="100" t="s">
        <v>25</v>
      </c>
      <c r="H21" s="100" t="s">
        <v>25</v>
      </c>
      <c r="I21" s="100" t="s">
        <v>25</v>
      </c>
      <c r="J21" s="100" t="s">
        <v>25</v>
      </c>
      <c r="K21" s="100" t="s">
        <v>84</v>
      </c>
      <c r="L21" s="100">
        <v>5.9999999999999995E-4</v>
      </c>
      <c r="M21" s="102" t="s">
        <v>84</v>
      </c>
      <c r="N21" s="102">
        <v>5.0000000000000001E-4</v>
      </c>
      <c r="O21" s="100" t="s">
        <v>84</v>
      </c>
      <c r="P21" s="100">
        <v>5.0000000000000001E-4</v>
      </c>
      <c r="Q21" s="102" t="str">
        <f t="shared" si="2"/>
        <v>01 LX III</v>
      </c>
      <c r="R21" s="102">
        <f t="shared" si="3"/>
        <v>5.0000000000000001E-4</v>
      </c>
    </row>
  </sheetData>
  <mergeCells count="11">
    <mergeCell ref="Q4:R5"/>
    <mergeCell ref="A4:A6"/>
    <mergeCell ref="B4:B6"/>
    <mergeCell ref="C4:P4"/>
    <mergeCell ref="C5:D5"/>
    <mergeCell ref="E5:F5"/>
    <mergeCell ref="G5:H5"/>
    <mergeCell ref="I5:J5"/>
    <mergeCell ref="K5:L5"/>
    <mergeCell ref="M5:N5"/>
    <mergeCell ref="O5:P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7" zoomScale="85" zoomScaleNormal="85" workbookViewId="0">
      <selection activeCell="G21" sqref="G21"/>
    </sheetView>
  </sheetViews>
  <sheetFormatPr defaultRowHeight="14.25"/>
  <cols>
    <col min="1" max="1" width="5" customWidth="1"/>
    <col min="2" max="2" width="41.375" customWidth="1"/>
    <col min="3" max="3" width="12.125" customWidth="1"/>
    <col min="5" max="5" width="28" customWidth="1"/>
    <col min="6" max="7" width="16.875" customWidth="1"/>
    <col min="8" max="8" width="28.5" customWidth="1"/>
  </cols>
  <sheetData>
    <row r="1" spans="1:10" ht="19.5">
      <c r="A1" s="585" t="s">
        <v>409</v>
      </c>
      <c r="B1" s="585"/>
      <c r="C1" s="585"/>
      <c r="D1" s="585"/>
      <c r="E1" s="585"/>
      <c r="F1" s="585"/>
      <c r="G1" s="585"/>
      <c r="H1" s="585"/>
      <c r="I1" s="166"/>
      <c r="J1" s="166"/>
    </row>
    <row r="2" spans="1:10" ht="56.25" customHeight="1">
      <c r="A2" s="586" t="s">
        <v>410</v>
      </c>
      <c r="B2" s="586"/>
      <c r="C2" s="586"/>
      <c r="D2" s="586"/>
      <c r="E2" s="586"/>
      <c r="F2" s="586"/>
      <c r="G2" s="586"/>
      <c r="H2" s="586"/>
      <c r="I2" s="90"/>
      <c r="J2" s="166"/>
    </row>
    <row r="3" spans="1:10" ht="15.75">
      <c r="F3" s="285"/>
      <c r="G3" s="285"/>
      <c r="H3" s="286" t="s">
        <v>408</v>
      </c>
    </row>
    <row r="4" spans="1:10" ht="15.75">
      <c r="A4" s="61" t="s">
        <v>19</v>
      </c>
      <c r="B4" s="61" t="s">
        <v>44</v>
      </c>
      <c r="C4" s="61" t="s">
        <v>244</v>
      </c>
      <c r="D4" s="61" t="s">
        <v>245</v>
      </c>
      <c r="E4" s="61" t="s">
        <v>45</v>
      </c>
      <c r="F4" s="587" t="s">
        <v>246</v>
      </c>
      <c r="G4" s="588"/>
      <c r="H4" s="61" t="s">
        <v>40</v>
      </c>
    </row>
    <row r="5" spans="1:10" ht="15.75">
      <c r="A5" s="61"/>
      <c r="B5" s="61"/>
      <c r="C5" s="61"/>
      <c r="D5" s="61"/>
      <c r="E5" s="61"/>
      <c r="F5" s="281" t="s">
        <v>349</v>
      </c>
      <c r="G5" s="282" t="s">
        <v>350</v>
      </c>
      <c r="H5" s="287"/>
    </row>
    <row r="6" spans="1:10" ht="31.5">
      <c r="A6" s="61" t="s">
        <v>2</v>
      </c>
      <c r="B6" s="62" t="s">
        <v>411</v>
      </c>
      <c r="C6" s="61" t="s">
        <v>186</v>
      </c>
      <c r="D6" s="61" t="s">
        <v>247</v>
      </c>
      <c r="E6" s="61" t="s">
        <v>282</v>
      </c>
      <c r="F6" s="63" t="e">
        <f>F7-F15</f>
        <v>#REF!</v>
      </c>
      <c r="G6" s="63"/>
      <c r="H6" s="288"/>
    </row>
    <row r="7" spans="1:10" s="56" customFormat="1" ht="34.5">
      <c r="A7" s="61">
        <v>1</v>
      </c>
      <c r="B7" s="62" t="s">
        <v>248</v>
      </c>
      <c r="C7" s="61" t="s">
        <v>186</v>
      </c>
      <c r="D7" s="61" t="s">
        <v>280</v>
      </c>
      <c r="E7" s="61" t="s">
        <v>281</v>
      </c>
      <c r="F7" s="63" t="e">
        <f>F8+F9+F10+F11+F13+F14</f>
        <v>#REF!</v>
      </c>
      <c r="G7" s="63"/>
      <c r="H7" s="288"/>
    </row>
    <row r="8" spans="1:10" ht="18.75">
      <c r="A8" s="64" t="s">
        <v>41</v>
      </c>
      <c r="B8" s="59" t="s">
        <v>52</v>
      </c>
      <c r="C8" s="64" t="s">
        <v>186</v>
      </c>
      <c r="D8" s="64" t="s">
        <v>249</v>
      </c>
      <c r="E8" s="64"/>
      <c r="F8" s="65">
        <f>'II.1 Vat tu'!C10</f>
        <v>28668.818744233387</v>
      </c>
      <c r="G8" s="65"/>
      <c r="H8" s="289" t="s">
        <v>319</v>
      </c>
    </row>
    <row r="9" spans="1:10" ht="18.75">
      <c r="A9" s="64" t="s">
        <v>42</v>
      </c>
      <c r="B9" s="59" t="s">
        <v>55</v>
      </c>
      <c r="C9" s="64" t="s">
        <v>186</v>
      </c>
      <c r="D9" s="64" t="s">
        <v>250</v>
      </c>
      <c r="E9" s="64"/>
      <c r="F9" s="65"/>
      <c r="G9" s="65"/>
      <c r="H9" s="289" t="s">
        <v>320</v>
      </c>
    </row>
    <row r="10" spans="1:10" ht="18.75">
      <c r="A10" s="66" t="s">
        <v>251</v>
      </c>
      <c r="B10" s="67" t="s">
        <v>252</v>
      </c>
      <c r="C10" s="66" t="s">
        <v>186</v>
      </c>
      <c r="D10" s="66" t="s">
        <v>253</v>
      </c>
      <c r="E10" s="66"/>
      <c r="F10" s="68" t="e">
        <f>'V. May'!#REF!</f>
        <v>#REF!</v>
      </c>
      <c r="G10" s="68"/>
      <c r="H10" s="289" t="s">
        <v>321</v>
      </c>
    </row>
    <row r="11" spans="1:10" ht="18.75">
      <c r="A11" s="64" t="s">
        <v>254</v>
      </c>
      <c r="B11" s="59" t="s">
        <v>255</v>
      </c>
      <c r="C11" s="64" t="s">
        <v>186</v>
      </c>
      <c r="D11" s="64" t="s">
        <v>256</v>
      </c>
      <c r="E11" s="64"/>
      <c r="F11" s="68">
        <f>'VII.1 Chi phí SXC'!F11</f>
        <v>7982.9567506070416</v>
      </c>
      <c r="G11" s="68"/>
      <c r="H11" s="289" t="s">
        <v>322</v>
      </c>
    </row>
    <row r="12" spans="1:10" ht="31.5">
      <c r="A12" s="64" t="s">
        <v>412</v>
      </c>
      <c r="B12" s="59" t="s">
        <v>413</v>
      </c>
      <c r="C12" s="64" t="s">
        <v>186</v>
      </c>
      <c r="D12" s="64" t="s">
        <v>414</v>
      </c>
      <c r="E12" s="64"/>
      <c r="F12" s="68">
        <v>0</v>
      </c>
      <c r="G12" s="68"/>
      <c r="H12" s="289" t="s">
        <v>415</v>
      </c>
    </row>
    <row r="13" spans="1:10" ht="18.75">
      <c r="A13" s="64" t="s">
        <v>257</v>
      </c>
      <c r="B13" s="59" t="s">
        <v>258</v>
      </c>
      <c r="C13" s="64" t="s">
        <v>186</v>
      </c>
      <c r="D13" s="64" t="s">
        <v>259</v>
      </c>
      <c r="E13" s="64"/>
      <c r="F13" s="65" t="e">
        <f>'VII.1 Chi phí SXC'!#REF!</f>
        <v>#REF!</v>
      </c>
      <c r="G13" s="65"/>
      <c r="H13" s="289" t="s">
        <v>323</v>
      </c>
    </row>
    <row r="14" spans="1:10" ht="18.75">
      <c r="A14" s="64" t="s">
        <v>297</v>
      </c>
      <c r="B14" s="59" t="s">
        <v>225</v>
      </c>
      <c r="C14" s="64" t="s">
        <v>186</v>
      </c>
      <c r="D14" s="64" t="s">
        <v>279</v>
      </c>
      <c r="E14" s="64"/>
      <c r="F14" s="65" t="e">
        <f>'VII.1 Chi phí SXC'!#REF!</f>
        <v>#REF!</v>
      </c>
      <c r="G14" s="65"/>
      <c r="H14" s="289" t="s">
        <v>324</v>
      </c>
    </row>
    <row r="15" spans="1:10" ht="31.5">
      <c r="A15" s="64">
        <v>2</v>
      </c>
      <c r="B15" s="59" t="s">
        <v>260</v>
      </c>
      <c r="C15" s="64" t="s">
        <v>186</v>
      </c>
      <c r="D15" s="64" t="s">
        <v>261</v>
      </c>
      <c r="E15" s="64"/>
      <c r="F15" s="69">
        <v>0</v>
      </c>
      <c r="G15" s="69"/>
      <c r="H15" s="290"/>
    </row>
    <row r="16" spans="1:10" ht="31.5">
      <c r="A16" s="64">
        <v>3</v>
      </c>
      <c r="B16" s="59" t="s">
        <v>262</v>
      </c>
      <c r="C16" s="64" t="s">
        <v>144</v>
      </c>
      <c r="D16" s="64" t="s">
        <v>263</v>
      </c>
      <c r="E16" s="64"/>
      <c r="F16" s="68" t="e">
        <f>#REF!</f>
        <v>#REF!</v>
      </c>
      <c r="G16" s="68"/>
      <c r="H16" s="291" t="s">
        <v>264</v>
      </c>
    </row>
    <row r="17" spans="1:10" ht="15.75">
      <c r="A17" s="61" t="s">
        <v>16</v>
      </c>
      <c r="B17" s="62" t="s">
        <v>265</v>
      </c>
      <c r="C17" s="61" t="s">
        <v>266</v>
      </c>
      <c r="D17" s="61" t="s">
        <v>267</v>
      </c>
      <c r="E17" s="61" t="s">
        <v>268</v>
      </c>
      <c r="F17" s="63" t="e">
        <f>F7*4.5%</f>
        <v>#REF!</v>
      </c>
      <c r="G17" s="63"/>
      <c r="H17" s="291"/>
    </row>
    <row r="18" spans="1:10" ht="47.25">
      <c r="A18" s="61" t="s">
        <v>57</v>
      </c>
      <c r="B18" s="62" t="s">
        <v>269</v>
      </c>
      <c r="C18" s="61" t="s">
        <v>186</v>
      </c>
      <c r="D18" s="61" t="s">
        <v>270</v>
      </c>
      <c r="E18" s="61" t="s">
        <v>271</v>
      </c>
      <c r="F18" s="63" t="e">
        <f>F6+F17</f>
        <v>#REF!</v>
      </c>
      <c r="G18" s="63"/>
      <c r="H18" s="288"/>
    </row>
    <row r="19" spans="1:10" ht="45.75" customHeight="1">
      <c r="A19" s="61" t="s">
        <v>243</v>
      </c>
      <c r="B19" s="62" t="s">
        <v>284</v>
      </c>
      <c r="C19" s="61" t="s">
        <v>186</v>
      </c>
      <c r="D19" s="61" t="s">
        <v>285</v>
      </c>
      <c r="E19" s="61" t="s">
        <v>286</v>
      </c>
      <c r="F19" s="63" t="e">
        <f>F18*1.1</f>
        <v>#REF!</v>
      </c>
      <c r="G19" s="63"/>
      <c r="H19" s="288"/>
      <c r="I19" s="58"/>
      <c r="J19" s="58"/>
    </row>
    <row r="20" spans="1:10" ht="33.75" customHeight="1">
      <c r="A20" s="61" t="s">
        <v>51</v>
      </c>
      <c r="B20" s="62" t="s">
        <v>289</v>
      </c>
      <c r="C20" s="61" t="s">
        <v>186</v>
      </c>
      <c r="D20" s="61" t="s">
        <v>272</v>
      </c>
      <c r="E20" s="61" t="s">
        <v>273</v>
      </c>
      <c r="F20" s="63" t="e">
        <f>F21+F22</f>
        <v>#REF!</v>
      </c>
      <c r="G20" s="63"/>
      <c r="H20" s="287"/>
    </row>
    <row r="21" spans="1:10" ht="16.5" customHeight="1">
      <c r="A21" s="64">
        <v>1</v>
      </c>
      <c r="B21" s="59" t="s">
        <v>283</v>
      </c>
      <c r="C21" s="64" t="s">
        <v>186</v>
      </c>
      <c r="D21" s="64" t="s">
        <v>274</v>
      </c>
      <c r="E21" s="64"/>
      <c r="F21" s="65" t="e">
        <f>#REF!</f>
        <v>#REF!</v>
      </c>
      <c r="G21" s="65"/>
      <c r="H21" s="291"/>
    </row>
    <row r="22" spans="1:10" ht="18.75" customHeight="1">
      <c r="A22" s="64">
        <v>2</v>
      </c>
      <c r="B22" s="59" t="s">
        <v>275</v>
      </c>
      <c r="C22" s="64" t="s">
        <v>186</v>
      </c>
      <c r="D22" s="64" t="s">
        <v>276</v>
      </c>
      <c r="E22" s="64"/>
      <c r="F22" s="65" t="e">
        <f>#REF!</f>
        <v>#REF!</v>
      </c>
      <c r="G22" s="65"/>
      <c r="H22" s="291"/>
    </row>
    <row r="23" spans="1:10" ht="17.25">
      <c r="A23" s="61" t="s">
        <v>205</v>
      </c>
      <c r="B23" s="62" t="s">
        <v>287</v>
      </c>
      <c r="C23" s="61" t="s">
        <v>186</v>
      </c>
      <c r="D23" s="61" t="s">
        <v>277</v>
      </c>
      <c r="E23" s="61" t="s">
        <v>278</v>
      </c>
      <c r="F23" s="63" t="e">
        <f>F18+F20</f>
        <v>#REF!</v>
      </c>
      <c r="G23" s="63"/>
      <c r="H23" s="287"/>
    </row>
    <row r="24" spans="1:10" ht="17.25">
      <c r="A24" s="61" t="s">
        <v>56</v>
      </c>
      <c r="B24" s="62" t="s">
        <v>288</v>
      </c>
      <c r="C24" s="61" t="s">
        <v>186</v>
      </c>
      <c r="D24" s="61" t="s">
        <v>277</v>
      </c>
      <c r="E24" s="61" t="s">
        <v>290</v>
      </c>
      <c r="F24" s="63" t="e">
        <f>F23*1.1</f>
        <v>#REF!</v>
      </c>
      <c r="G24" s="63"/>
      <c r="H24" s="287"/>
    </row>
  </sheetData>
  <mergeCells count="3">
    <mergeCell ref="A1:H1"/>
    <mergeCell ref="A2:H2"/>
    <mergeCell ref="F4:G4"/>
  </mergeCells>
  <pageMargins left="0.7" right="0.7" top="0.75" bottom="0.75" header="0.3" footer="0.3"/>
  <pageSetup paperSize="9" orientation="landscape"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I10" sqref="I10"/>
    </sheetView>
  </sheetViews>
  <sheetFormatPr defaultRowHeight="14.25"/>
  <cols>
    <col min="1" max="1" width="3.375" bestFit="1" customWidth="1"/>
    <col min="2" max="2" width="23.625" customWidth="1"/>
    <col min="3" max="3" width="14.125" customWidth="1"/>
    <col min="11" max="11" width="12.125" customWidth="1"/>
  </cols>
  <sheetData>
    <row r="1" spans="1:11" ht="25.5">
      <c r="B1" s="27" t="s">
        <v>114</v>
      </c>
      <c r="K1" s="93" t="s">
        <v>326</v>
      </c>
    </row>
    <row r="2" spans="1:11" ht="15">
      <c r="B2" s="28" t="s">
        <v>115</v>
      </c>
      <c r="D2">
        <v>250</v>
      </c>
      <c r="E2">
        <v>500</v>
      </c>
      <c r="F2">
        <v>750</v>
      </c>
      <c r="G2">
        <v>1000</v>
      </c>
      <c r="H2">
        <v>1250</v>
      </c>
      <c r="I2">
        <v>1500</v>
      </c>
      <c r="K2" s="92" t="s">
        <v>327</v>
      </c>
    </row>
    <row r="3" spans="1:11" ht="15" thickBot="1">
      <c r="A3" s="752" t="s">
        <v>19</v>
      </c>
      <c r="B3" s="754" t="s">
        <v>23</v>
      </c>
      <c r="C3" s="754" t="s">
        <v>24</v>
      </c>
      <c r="D3" s="756" t="s">
        <v>89</v>
      </c>
      <c r="E3" s="757"/>
      <c r="F3" s="757"/>
      <c r="G3" s="757"/>
      <c r="H3" s="757"/>
      <c r="I3" s="757"/>
      <c r="J3" s="758"/>
      <c r="K3" s="759" t="s">
        <v>328</v>
      </c>
    </row>
    <row r="4" spans="1:11" ht="13.9" customHeight="1" thickBot="1">
      <c r="A4" s="753"/>
      <c r="B4" s="755"/>
      <c r="C4" s="755"/>
      <c r="D4" s="111" t="s">
        <v>59</v>
      </c>
      <c r="E4" s="111" t="s">
        <v>60</v>
      </c>
      <c r="F4" s="111" t="s">
        <v>61</v>
      </c>
      <c r="G4" s="111" t="s">
        <v>62</v>
      </c>
      <c r="H4" s="111" t="s">
        <v>63</v>
      </c>
      <c r="I4" s="111" t="s">
        <v>64</v>
      </c>
      <c r="J4" s="112" t="s">
        <v>65</v>
      </c>
      <c r="K4" s="760"/>
    </row>
    <row r="5" spans="1:11" ht="15.75" thickBot="1">
      <c r="A5" s="110" t="s">
        <v>2</v>
      </c>
      <c r="B5" s="113" t="s">
        <v>66</v>
      </c>
      <c r="C5" s="114"/>
      <c r="D5" s="114"/>
      <c r="E5" s="114"/>
      <c r="F5" s="114"/>
      <c r="G5" s="114"/>
      <c r="H5" s="114"/>
      <c r="I5" s="114"/>
      <c r="J5" s="115"/>
      <c r="K5" s="91"/>
    </row>
    <row r="6" spans="1:11" ht="15" thickBot="1">
      <c r="A6" s="116">
        <v>1</v>
      </c>
      <c r="B6" s="114" t="s">
        <v>90</v>
      </c>
      <c r="C6" s="117" t="s">
        <v>91</v>
      </c>
      <c r="D6" s="117">
        <v>8.0000000000000002E-3</v>
      </c>
      <c r="E6" s="117">
        <v>2.7000000000000001E-3</v>
      </c>
      <c r="F6" s="117">
        <v>3.2000000000000002E-3</v>
      </c>
      <c r="G6" s="117">
        <v>2.3E-3</v>
      </c>
      <c r="H6" s="117">
        <v>1.8E-3</v>
      </c>
      <c r="I6" s="117">
        <v>1.5E-3</v>
      </c>
      <c r="J6" s="118">
        <v>1.5E-3</v>
      </c>
      <c r="K6" s="111">
        <f>I6</f>
        <v>1.5E-3</v>
      </c>
    </row>
    <row r="7" spans="1:11" ht="15" thickBot="1">
      <c r="A7" s="116">
        <v>2</v>
      </c>
      <c r="B7" s="114" t="s">
        <v>92</v>
      </c>
      <c r="C7" s="117" t="s">
        <v>93</v>
      </c>
      <c r="D7" s="117">
        <v>8.0000000000000002E-3</v>
      </c>
      <c r="E7" s="117">
        <v>2.7000000000000001E-3</v>
      </c>
      <c r="F7" s="117">
        <v>3.2000000000000002E-3</v>
      </c>
      <c r="G7" s="117">
        <v>2.3E-3</v>
      </c>
      <c r="H7" s="117">
        <v>1.8E-3</v>
      </c>
      <c r="I7" s="117">
        <v>1.5E-3</v>
      </c>
      <c r="J7" s="118">
        <v>1.5E-3</v>
      </c>
      <c r="K7" s="111">
        <f>I7</f>
        <v>1.5E-3</v>
      </c>
    </row>
    <row r="8" spans="1:11" ht="15" thickBot="1">
      <c r="A8" s="110" t="s">
        <v>16</v>
      </c>
      <c r="B8" s="113" t="s">
        <v>73</v>
      </c>
      <c r="C8" s="114"/>
      <c r="D8" s="114"/>
      <c r="E8" s="114"/>
      <c r="F8" s="114"/>
      <c r="G8" s="114"/>
      <c r="H8" s="114"/>
      <c r="I8" s="114"/>
      <c r="J8" s="115"/>
      <c r="K8" s="113"/>
    </row>
    <row r="9" spans="1:11" ht="15" thickBot="1">
      <c r="A9" s="116">
        <v>3</v>
      </c>
      <c r="B9" s="114" t="s">
        <v>79</v>
      </c>
      <c r="C9" s="117" t="s">
        <v>94</v>
      </c>
      <c r="D9" s="117">
        <v>2.8E-3</v>
      </c>
      <c r="E9" s="117">
        <v>2.7000000000000001E-3</v>
      </c>
      <c r="F9" s="117">
        <v>2.5999999999999999E-3</v>
      </c>
      <c r="G9" s="117">
        <v>2.5000000000000001E-3</v>
      </c>
      <c r="H9" s="117" t="s">
        <v>25</v>
      </c>
      <c r="I9" s="117" t="s">
        <v>25</v>
      </c>
      <c r="J9" s="118" t="s">
        <v>25</v>
      </c>
      <c r="K9" s="111" t="str">
        <f t="shared" ref="K9:K12" si="0">I9</f>
        <v>-</v>
      </c>
    </row>
    <row r="10" spans="1:11" ht="15" thickBot="1">
      <c r="A10" s="116">
        <v>4</v>
      </c>
      <c r="B10" s="114" t="s">
        <v>79</v>
      </c>
      <c r="C10" s="117" t="s">
        <v>95</v>
      </c>
      <c r="D10" s="117" t="s">
        <v>25</v>
      </c>
      <c r="E10" s="117" t="s">
        <v>25</v>
      </c>
      <c r="F10" s="117" t="s">
        <v>25</v>
      </c>
      <c r="G10" s="117" t="s">
        <v>25</v>
      </c>
      <c r="H10" s="117">
        <v>2.2000000000000001E-3</v>
      </c>
      <c r="I10" s="117">
        <v>2.0999999999999999E-3</v>
      </c>
      <c r="J10" s="118">
        <v>2.5000000000000001E-3</v>
      </c>
      <c r="K10" s="111">
        <f t="shared" si="0"/>
        <v>2.0999999999999999E-3</v>
      </c>
    </row>
    <row r="11" spans="1:11" ht="26.25" thickBot="1">
      <c r="A11" s="116">
        <v>5</v>
      </c>
      <c r="B11" s="114" t="s">
        <v>80</v>
      </c>
      <c r="C11" s="117" t="s">
        <v>96</v>
      </c>
      <c r="D11" s="117">
        <v>1.6000000000000001E-3</v>
      </c>
      <c r="E11" s="117">
        <v>1.5E-3</v>
      </c>
      <c r="F11" s="117">
        <v>1.4E-3</v>
      </c>
      <c r="G11" s="117">
        <v>1.4E-3</v>
      </c>
      <c r="H11" s="117">
        <v>1.2999999999999999E-3</v>
      </c>
      <c r="I11" s="117">
        <v>1.2999999999999999E-3</v>
      </c>
      <c r="J11" s="118">
        <v>1.2999999999999999E-3</v>
      </c>
      <c r="K11" s="111">
        <f t="shared" si="0"/>
        <v>1.2999999999999999E-3</v>
      </c>
    </row>
    <row r="12" spans="1:11" ht="26.25" thickBot="1">
      <c r="A12" s="116">
        <v>6</v>
      </c>
      <c r="B12" s="114" t="s">
        <v>97</v>
      </c>
      <c r="C12" s="117" t="s">
        <v>98</v>
      </c>
      <c r="D12" s="117" t="s">
        <v>25</v>
      </c>
      <c r="E12" s="117" t="s">
        <v>25</v>
      </c>
      <c r="F12" s="117" t="s">
        <v>25</v>
      </c>
      <c r="G12" s="117" t="s">
        <v>25</v>
      </c>
      <c r="H12" s="117" t="s">
        <v>25</v>
      </c>
      <c r="I12" s="117" t="s">
        <v>25</v>
      </c>
      <c r="J12" s="118">
        <v>5.0000000000000001E-4</v>
      </c>
      <c r="K12" s="111" t="str">
        <f t="shared" si="0"/>
        <v>-</v>
      </c>
    </row>
    <row r="13" spans="1:11" ht="15" thickBot="1">
      <c r="A13" s="116">
        <v>7</v>
      </c>
      <c r="B13" s="114" t="s">
        <v>99</v>
      </c>
      <c r="C13" s="117" t="s">
        <v>100</v>
      </c>
      <c r="D13" s="117">
        <v>3.0000000000000001E-3</v>
      </c>
      <c r="E13" s="117">
        <v>2.5000000000000001E-3</v>
      </c>
      <c r="F13" s="117">
        <v>2E-3</v>
      </c>
      <c r="G13" s="117">
        <v>1.5E-3</v>
      </c>
      <c r="H13" s="117" t="s">
        <v>25</v>
      </c>
      <c r="I13" s="117" t="s">
        <v>25</v>
      </c>
      <c r="J13" s="118" t="s">
        <v>25</v>
      </c>
      <c r="K13" s="111" t="str">
        <f>I13</f>
        <v>-</v>
      </c>
    </row>
    <row r="14" spans="1:11" ht="15" thickBot="1">
      <c r="A14" s="116">
        <v>8</v>
      </c>
      <c r="B14" s="114" t="s">
        <v>99</v>
      </c>
      <c r="C14" s="117" t="s">
        <v>101</v>
      </c>
      <c r="D14" s="117" t="s">
        <v>25</v>
      </c>
      <c r="E14" s="117" t="s">
        <v>25</v>
      </c>
      <c r="F14" s="117" t="s">
        <v>25</v>
      </c>
      <c r="G14" s="117" t="s">
        <v>25</v>
      </c>
      <c r="H14" s="117">
        <v>1.5E-3</v>
      </c>
      <c r="I14" s="117">
        <v>1E-3</v>
      </c>
      <c r="J14" s="118">
        <v>1.5E-3</v>
      </c>
      <c r="K14" s="111">
        <f t="shared" ref="K14:K23" si="1">I14</f>
        <v>1E-3</v>
      </c>
    </row>
    <row r="15" spans="1:11" ht="15" thickBot="1">
      <c r="A15" s="116">
        <v>9</v>
      </c>
      <c r="B15" s="114" t="s">
        <v>102</v>
      </c>
      <c r="C15" s="117" t="s">
        <v>103</v>
      </c>
      <c r="D15" s="117" t="s">
        <v>25</v>
      </c>
      <c r="E15" s="117" t="s">
        <v>25</v>
      </c>
      <c r="F15" s="117" t="s">
        <v>25</v>
      </c>
      <c r="G15" s="117" t="s">
        <v>25</v>
      </c>
      <c r="H15" s="117">
        <v>4.0000000000000002E-4</v>
      </c>
      <c r="I15" s="117">
        <v>3.6000000000000002E-4</v>
      </c>
      <c r="J15" s="118">
        <v>6.4999999999999997E-4</v>
      </c>
      <c r="K15" s="111">
        <f t="shared" si="1"/>
        <v>3.6000000000000002E-4</v>
      </c>
    </row>
    <row r="16" spans="1:11" ht="15" thickBot="1">
      <c r="A16" s="116">
        <v>10</v>
      </c>
      <c r="B16" s="114" t="s">
        <v>102</v>
      </c>
      <c r="C16" s="117" t="s">
        <v>104</v>
      </c>
      <c r="D16" s="117">
        <v>2.7000000000000001E-3</v>
      </c>
      <c r="E16" s="117">
        <v>2.5999999999999999E-3</v>
      </c>
      <c r="F16" s="117">
        <v>2.5999999999999999E-3</v>
      </c>
      <c r="G16" s="117">
        <v>2.5000000000000001E-3</v>
      </c>
      <c r="H16" s="117">
        <v>2.5000000000000001E-3</v>
      </c>
      <c r="I16" s="117">
        <v>2.3999999999999998E-3</v>
      </c>
      <c r="J16" s="118">
        <v>1.6000000000000001E-3</v>
      </c>
      <c r="K16" s="111">
        <f t="shared" si="1"/>
        <v>2.3999999999999998E-3</v>
      </c>
    </row>
    <row r="17" spans="1:11" ht="16.5" thickBot="1">
      <c r="A17" s="116">
        <v>11</v>
      </c>
      <c r="B17" s="114" t="s">
        <v>87</v>
      </c>
      <c r="C17" s="117" t="s">
        <v>332</v>
      </c>
      <c r="D17" s="117" t="s">
        <v>25</v>
      </c>
      <c r="E17" s="117" t="s">
        <v>25</v>
      </c>
      <c r="F17" s="117" t="s">
        <v>25</v>
      </c>
      <c r="G17" s="117" t="s">
        <v>25</v>
      </c>
      <c r="H17" s="117">
        <v>5.9999999999999995E-4</v>
      </c>
      <c r="I17" s="117">
        <v>5.0000000000000001E-4</v>
      </c>
      <c r="J17" s="118">
        <v>5.0000000000000001E-4</v>
      </c>
      <c r="K17" s="111">
        <f t="shared" si="1"/>
        <v>5.0000000000000001E-4</v>
      </c>
    </row>
    <row r="18" spans="1:11" ht="15" thickBot="1">
      <c r="A18" s="116">
        <v>12</v>
      </c>
      <c r="B18" s="114" t="s">
        <v>105</v>
      </c>
      <c r="C18" s="117" t="s">
        <v>106</v>
      </c>
      <c r="D18" s="117">
        <v>8.0000000000000004E-4</v>
      </c>
      <c r="E18" s="117">
        <v>6.9999999999999999E-4</v>
      </c>
      <c r="F18" s="117">
        <v>5.9999999999999995E-4</v>
      </c>
      <c r="G18" s="117">
        <v>5.0000000000000001E-4</v>
      </c>
      <c r="H18" s="117">
        <v>2.5000000000000001E-3</v>
      </c>
      <c r="I18" s="117">
        <v>2.0999999999999999E-3</v>
      </c>
      <c r="J18" s="118">
        <v>2.0999999999999999E-3</v>
      </c>
      <c r="K18" s="111">
        <f t="shared" si="1"/>
        <v>2.0999999999999999E-3</v>
      </c>
    </row>
    <row r="19" spans="1:11" ht="15" thickBot="1">
      <c r="A19" s="116">
        <v>13</v>
      </c>
      <c r="B19" s="114" t="s">
        <v>105</v>
      </c>
      <c r="C19" s="117" t="s">
        <v>107</v>
      </c>
      <c r="D19" s="117">
        <v>2.5000000000000001E-3</v>
      </c>
      <c r="E19" s="117">
        <v>2.5000000000000001E-3</v>
      </c>
      <c r="F19" s="117">
        <v>2.5000000000000001E-3</v>
      </c>
      <c r="G19" s="117">
        <v>2.5000000000000001E-3</v>
      </c>
      <c r="H19" s="117">
        <v>1.5E-3</v>
      </c>
      <c r="I19" s="117">
        <v>1E-3</v>
      </c>
      <c r="J19" s="118">
        <v>1E-3</v>
      </c>
      <c r="K19" s="111">
        <f t="shared" si="1"/>
        <v>1E-3</v>
      </c>
    </row>
    <row r="20" spans="1:11" ht="15" thickBot="1">
      <c r="A20" s="116">
        <v>14</v>
      </c>
      <c r="B20" s="114" t="s">
        <v>105</v>
      </c>
      <c r="C20" s="117" t="s">
        <v>108</v>
      </c>
      <c r="D20" s="117">
        <v>1E-3</v>
      </c>
      <c r="E20" s="117">
        <v>1E-3</v>
      </c>
      <c r="F20" s="117">
        <v>1E-3</v>
      </c>
      <c r="G20" s="117">
        <v>1E-3</v>
      </c>
      <c r="H20" s="117">
        <v>1.5E-3</v>
      </c>
      <c r="I20" s="117">
        <v>1.5E-3</v>
      </c>
      <c r="J20" s="118">
        <v>1.5E-3</v>
      </c>
      <c r="K20" s="111">
        <f t="shared" si="1"/>
        <v>1.5E-3</v>
      </c>
    </row>
    <row r="21" spans="1:11" ht="15" thickBot="1">
      <c r="A21" s="116">
        <v>15</v>
      </c>
      <c r="B21" s="114" t="s">
        <v>109</v>
      </c>
      <c r="C21" s="117" t="s">
        <v>110</v>
      </c>
      <c r="D21" s="117">
        <v>1E-3</v>
      </c>
      <c r="E21" s="117">
        <v>1E-3</v>
      </c>
      <c r="F21" s="117">
        <v>1E-3</v>
      </c>
      <c r="G21" s="117">
        <v>1E-3</v>
      </c>
      <c r="H21" s="117">
        <v>5.0000000000000001E-4</v>
      </c>
      <c r="I21" s="117">
        <v>5.0000000000000001E-4</v>
      </c>
      <c r="J21" s="118">
        <v>5.0000000000000001E-4</v>
      </c>
      <c r="K21" s="111">
        <f t="shared" si="1"/>
        <v>5.0000000000000001E-4</v>
      </c>
    </row>
    <row r="22" spans="1:11" ht="15" thickBot="1">
      <c r="A22" s="116">
        <v>16</v>
      </c>
      <c r="B22" s="114" t="s">
        <v>111</v>
      </c>
      <c r="C22" s="117" t="s">
        <v>98</v>
      </c>
      <c r="D22" s="117" t="s">
        <v>25</v>
      </c>
      <c r="E22" s="117" t="s">
        <v>25</v>
      </c>
      <c r="F22" s="117" t="s">
        <v>25</v>
      </c>
      <c r="G22" s="117" t="s">
        <v>25</v>
      </c>
      <c r="H22" s="117">
        <v>5.0000000000000001E-4</v>
      </c>
      <c r="I22" s="117">
        <v>5.0000000000000001E-4</v>
      </c>
      <c r="J22" s="118">
        <v>5.0000000000000001E-4</v>
      </c>
      <c r="K22" s="111">
        <f t="shared" si="1"/>
        <v>5.0000000000000001E-4</v>
      </c>
    </row>
    <row r="23" spans="1:11" ht="15" thickBot="1">
      <c r="A23" s="119">
        <v>17</v>
      </c>
      <c r="B23" s="120" t="s">
        <v>112</v>
      </c>
      <c r="C23" s="121" t="s">
        <v>113</v>
      </c>
      <c r="D23" s="121">
        <v>7.5000000000000002E-4</v>
      </c>
      <c r="E23" s="121">
        <v>6.9999999999999999E-4</v>
      </c>
      <c r="F23" s="121">
        <v>6.4999999999999997E-4</v>
      </c>
      <c r="G23" s="121">
        <v>6.4999999999999997E-4</v>
      </c>
      <c r="H23" s="121">
        <v>5.5000000000000003E-4</v>
      </c>
      <c r="I23" s="121">
        <v>5.0000000000000001E-4</v>
      </c>
      <c r="J23" s="122">
        <v>5.0000000000000001E-4</v>
      </c>
      <c r="K23" s="111">
        <f t="shared" si="1"/>
        <v>5.0000000000000001E-4</v>
      </c>
    </row>
  </sheetData>
  <mergeCells count="5">
    <mergeCell ref="A3:A4"/>
    <mergeCell ref="B3:B4"/>
    <mergeCell ref="C3:C4"/>
    <mergeCell ref="D3:J3"/>
    <mergeCell ref="K3:K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1"/>
  <sheetViews>
    <sheetView zoomScale="85" zoomScaleNormal="85" workbookViewId="0">
      <selection sqref="A1:XFD1048576"/>
    </sheetView>
  </sheetViews>
  <sheetFormatPr defaultRowHeight="14.25"/>
  <cols>
    <col min="1" max="1" width="4.125" bestFit="1" customWidth="1"/>
    <col min="2" max="2" width="23.75" customWidth="1"/>
    <col min="12" max="12" width="14.5" customWidth="1"/>
    <col min="15" max="15" width="20.75" customWidth="1"/>
    <col min="16" max="16" width="25.875" customWidth="1"/>
    <col min="17" max="17" width="29.125" customWidth="1"/>
    <col min="18" max="18" width="23.75" customWidth="1"/>
    <col min="19" max="19" width="18.625" customWidth="1"/>
  </cols>
  <sheetData>
    <row r="1" spans="1:19" ht="25.5">
      <c r="A1" s="27"/>
      <c r="B1" s="27" t="s">
        <v>117</v>
      </c>
    </row>
    <row r="2" spans="1:19" ht="15">
      <c r="A2" s="28"/>
      <c r="B2" s="28" t="s">
        <v>118</v>
      </c>
      <c r="L2" s="93" t="s">
        <v>326</v>
      </c>
    </row>
    <row r="3" spans="1:19" ht="15">
      <c r="E3">
        <v>250</v>
      </c>
      <c r="F3">
        <v>500</v>
      </c>
      <c r="G3">
        <v>750</v>
      </c>
      <c r="H3">
        <v>1000</v>
      </c>
      <c r="I3">
        <v>1250</v>
      </c>
      <c r="J3">
        <v>1500</v>
      </c>
      <c r="L3" s="92" t="s">
        <v>327</v>
      </c>
    </row>
    <row r="4" spans="1:19">
      <c r="A4" s="751" t="s">
        <v>19</v>
      </c>
      <c r="B4" s="751" t="s">
        <v>26</v>
      </c>
      <c r="C4" s="751" t="s">
        <v>27</v>
      </c>
      <c r="D4" s="751" t="s">
        <v>329</v>
      </c>
      <c r="E4" s="751" t="s">
        <v>89</v>
      </c>
      <c r="F4" s="751"/>
      <c r="G4" s="751"/>
      <c r="H4" s="751"/>
      <c r="I4" s="751"/>
      <c r="J4" s="751"/>
      <c r="K4" s="751"/>
      <c r="L4" s="759" t="s">
        <v>328</v>
      </c>
    </row>
    <row r="5" spans="1:19" ht="13.5" customHeight="1">
      <c r="A5" s="751"/>
      <c r="B5" s="751"/>
      <c r="C5" s="751"/>
      <c r="D5" s="751"/>
      <c r="E5" s="98" t="s">
        <v>59</v>
      </c>
      <c r="F5" s="98" t="s">
        <v>60</v>
      </c>
      <c r="G5" s="98" t="s">
        <v>61</v>
      </c>
      <c r="H5" s="98" t="s">
        <v>62</v>
      </c>
      <c r="I5" s="98" t="s">
        <v>63</v>
      </c>
      <c r="J5" s="98" t="s">
        <v>64</v>
      </c>
      <c r="K5" s="98" t="s">
        <v>65</v>
      </c>
      <c r="L5" s="760"/>
    </row>
    <row r="6" spans="1:19">
      <c r="A6" s="98" t="s">
        <v>2</v>
      </c>
      <c r="B6" s="104" t="s">
        <v>66</v>
      </c>
      <c r="C6" s="101"/>
      <c r="D6" s="101"/>
      <c r="E6" s="101"/>
      <c r="F6" s="101"/>
      <c r="G6" s="101"/>
      <c r="H6" s="101"/>
      <c r="I6" s="101"/>
      <c r="J6" s="101"/>
      <c r="K6" s="101"/>
      <c r="L6" s="109"/>
    </row>
    <row r="7" spans="1:19" ht="15">
      <c r="A7" s="107" t="s">
        <v>28</v>
      </c>
      <c r="B7" s="108" t="s">
        <v>90</v>
      </c>
      <c r="C7" s="101"/>
      <c r="D7" s="101"/>
      <c r="E7" s="101"/>
      <c r="F7" s="101"/>
      <c r="G7" s="101"/>
      <c r="H7" s="101"/>
      <c r="I7" s="101"/>
      <c r="J7" s="101"/>
      <c r="K7" s="101"/>
      <c r="L7" s="106"/>
    </row>
    <row r="8" spans="1:19">
      <c r="A8" s="100">
        <v>1</v>
      </c>
      <c r="B8" s="101" t="s">
        <v>11</v>
      </c>
      <c r="C8" s="100" t="s">
        <v>12</v>
      </c>
      <c r="D8" s="100">
        <v>6</v>
      </c>
      <c r="E8" s="100">
        <v>8.0000000000000002E-3</v>
      </c>
      <c r="F8" s="100">
        <v>2.7000000000000001E-3</v>
      </c>
      <c r="G8" s="100">
        <v>3.2000000000000002E-3</v>
      </c>
      <c r="H8" s="100">
        <v>2.3E-3</v>
      </c>
      <c r="I8" s="100">
        <v>1.8E-3</v>
      </c>
      <c r="J8" s="100">
        <v>1.5E-3</v>
      </c>
      <c r="K8" s="100">
        <v>1.5E-3</v>
      </c>
      <c r="L8" s="98">
        <f>J8</f>
        <v>1.5E-3</v>
      </c>
    </row>
    <row r="9" spans="1:19">
      <c r="A9" s="100">
        <v>2</v>
      </c>
      <c r="B9" s="101" t="s">
        <v>10</v>
      </c>
      <c r="C9" s="100" t="s">
        <v>4</v>
      </c>
      <c r="D9" s="100">
        <v>6</v>
      </c>
      <c r="E9" s="100">
        <v>8.0000000000000002E-3</v>
      </c>
      <c r="F9" s="100">
        <v>2.7000000000000001E-3</v>
      </c>
      <c r="G9" s="100">
        <v>3.2000000000000002E-3</v>
      </c>
      <c r="H9" s="100">
        <v>2.3E-3</v>
      </c>
      <c r="I9" s="100">
        <v>1.8E-3</v>
      </c>
      <c r="J9" s="100">
        <v>1.5E-3</v>
      </c>
      <c r="K9" s="100">
        <v>1.5E-3</v>
      </c>
      <c r="L9" s="98">
        <f t="shared" ref="L9:L16" si="0">J9</f>
        <v>1.5E-3</v>
      </c>
    </row>
    <row r="10" spans="1:19">
      <c r="A10" s="100">
        <v>3</v>
      </c>
      <c r="B10" s="101" t="s">
        <v>8</v>
      </c>
      <c r="C10" s="100" t="s">
        <v>7</v>
      </c>
      <c r="D10" s="100">
        <v>6</v>
      </c>
      <c r="E10" s="100">
        <v>4.0000000000000001E-3</v>
      </c>
      <c r="F10" s="100">
        <v>1.3500000000000001E-3</v>
      </c>
      <c r="G10" s="100">
        <v>1.6000000000000001E-3</v>
      </c>
      <c r="H10" s="100">
        <v>1.15E-3</v>
      </c>
      <c r="I10" s="100">
        <v>8.9999999999999998E-4</v>
      </c>
      <c r="J10" s="100">
        <v>8.0000000000000004E-4</v>
      </c>
      <c r="K10" s="100">
        <v>8.0000000000000004E-4</v>
      </c>
      <c r="L10" s="98">
        <f t="shared" si="0"/>
        <v>8.0000000000000004E-4</v>
      </c>
    </row>
    <row r="11" spans="1:19">
      <c r="A11" s="100">
        <v>4</v>
      </c>
      <c r="B11" s="101" t="s">
        <v>119</v>
      </c>
      <c r="C11" s="100" t="s">
        <v>7</v>
      </c>
      <c r="D11" s="100">
        <v>1</v>
      </c>
      <c r="E11" s="100">
        <v>4.0000000000000001E-3</v>
      </c>
      <c r="F11" s="100">
        <v>1.3500000000000001E-3</v>
      </c>
      <c r="G11" s="100">
        <v>1.6000000000000001E-3</v>
      </c>
      <c r="H11" s="100">
        <v>1.15E-3</v>
      </c>
      <c r="I11" s="100">
        <v>8.9999999999999998E-4</v>
      </c>
      <c r="J11" s="100">
        <v>8.0000000000000004E-4</v>
      </c>
      <c r="K11" s="100">
        <v>8.0000000000000004E-4</v>
      </c>
      <c r="L11" s="98">
        <f t="shared" si="0"/>
        <v>8.0000000000000004E-4</v>
      </c>
    </row>
    <row r="12" spans="1:19">
      <c r="A12" s="100">
        <v>5</v>
      </c>
      <c r="B12" s="101" t="s">
        <v>6</v>
      </c>
      <c r="C12" s="100" t="s">
        <v>7</v>
      </c>
      <c r="D12" s="100">
        <v>1</v>
      </c>
      <c r="E12" s="100">
        <v>4.0000000000000001E-3</v>
      </c>
      <c r="F12" s="100">
        <v>1.3500000000000001E-3</v>
      </c>
      <c r="G12" s="100">
        <v>1.6000000000000001E-3</v>
      </c>
      <c r="H12" s="100">
        <v>1.15E-3</v>
      </c>
      <c r="I12" s="100">
        <v>8.9999999999999998E-4</v>
      </c>
      <c r="J12" s="100">
        <v>8.0000000000000004E-4</v>
      </c>
      <c r="K12" s="100">
        <v>8.0000000000000004E-4</v>
      </c>
      <c r="L12" s="98">
        <f t="shared" si="0"/>
        <v>8.0000000000000004E-4</v>
      </c>
    </row>
    <row r="13" spans="1:19">
      <c r="A13" s="100">
        <v>6</v>
      </c>
      <c r="B13" s="101" t="s">
        <v>9</v>
      </c>
      <c r="C13" s="100" t="s">
        <v>4</v>
      </c>
      <c r="D13" s="100">
        <v>1</v>
      </c>
      <c r="E13" s="100">
        <v>8.0000000000000002E-3</v>
      </c>
      <c r="F13" s="100">
        <v>2.7000000000000001E-3</v>
      </c>
      <c r="G13" s="100">
        <v>3.2000000000000002E-3</v>
      </c>
      <c r="H13" s="100">
        <v>2.3E-3</v>
      </c>
      <c r="I13" s="100">
        <v>1.8E-3</v>
      </c>
      <c r="J13" s="100">
        <v>1.5E-3</v>
      </c>
      <c r="K13" s="100">
        <v>1.5E-3</v>
      </c>
      <c r="L13" s="98">
        <f t="shared" si="0"/>
        <v>1.5E-3</v>
      </c>
    </row>
    <row r="14" spans="1:19">
      <c r="A14" s="100">
        <v>7</v>
      </c>
      <c r="B14" s="101" t="s">
        <v>13</v>
      </c>
      <c r="C14" s="100" t="s">
        <v>4</v>
      </c>
      <c r="D14" s="100">
        <v>12</v>
      </c>
      <c r="E14" s="100">
        <v>4.0000000000000001E-3</v>
      </c>
      <c r="F14" s="100">
        <v>1.3500000000000001E-3</v>
      </c>
      <c r="G14" s="100">
        <v>1.6000000000000001E-3</v>
      </c>
      <c r="H14" s="100">
        <v>1.15E-3</v>
      </c>
      <c r="I14" s="100">
        <v>8.9999999999999998E-4</v>
      </c>
      <c r="J14" s="100">
        <v>8.0000000000000004E-4</v>
      </c>
      <c r="K14" s="100">
        <v>8.0000000000000004E-4</v>
      </c>
      <c r="L14" s="98">
        <f t="shared" si="0"/>
        <v>8.0000000000000004E-4</v>
      </c>
    </row>
    <row r="15" spans="1:19">
      <c r="A15" s="100">
        <v>8</v>
      </c>
      <c r="B15" s="101" t="s">
        <v>3</v>
      </c>
      <c r="C15" s="100" t="s">
        <v>4</v>
      </c>
      <c r="D15" s="100">
        <v>12</v>
      </c>
      <c r="E15" s="100">
        <v>8.0000000000000002E-3</v>
      </c>
      <c r="F15" s="100">
        <v>2.7000000000000001E-3</v>
      </c>
      <c r="G15" s="100">
        <v>3.2000000000000002E-3</v>
      </c>
      <c r="H15" s="100">
        <v>2.3E-3</v>
      </c>
      <c r="I15" s="100">
        <v>1.8E-3</v>
      </c>
      <c r="J15" s="100">
        <v>1.5E-3</v>
      </c>
      <c r="K15" s="100">
        <v>1.5E-3</v>
      </c>
      <c r="L15" s="98">
        <f t="shared" si="0"/>
        <v>1.5E-3</v>
      </c>
    </row>
    <row r="16" spans="1:19" ht="26.25" thickBot="1">
      <c r="A16" s="100">
        <v>9</v>
      </c>
      <c r="B16" s="101" t="s">
        <v>14</v>
      </c>
      <c r="C16" s="100" t="s">
        <v>7</v>
      </c>
      <c r="D16" s="100">
        <v>12</v>
      </c>
      <c r="E16" s="100">
        <v>4.0000000000000001E-3</v>
      </c>
      <c r="F16" s="100">
        <v>1.3500000000000001E-3</v>
      </c>
      <c r="G16" s="100">
        <v>1.6000000000000001E-3</v>
      </c>
      <c r="H16" s="100">
        <v>1.15E-3</v>
      </c>
      <c r="I16" s="100">
        <v>1.8E-3</v>
      </c>
      <c r="J16" s="100">
        <v>1.5E-3</v>
      </c>
      <c r="K16" s="100">
        <v>1.5E-3</v>
      </c>
      <c r="L16" s="98">
        <f t="shared" si="0"/>
        <v>1.5E-3</v>
      </c>
      <c r="S16" s="24" t="s">
        <v>73</v>
      </c>
    </row>
    <row r="17" spans="1:26" ht="102.75" thickBot="1">
      <c r="A17" s="107" t="s">
        <v>29</v>
      </c>
      <c r="B17" s="108" t="s">
        <v>66</v>
      </c>
      <c r="C17" s="101"/>
      <c r="D17" s="101"/>
      <c r="E17" s="101"/>
      <c r="F17" s="101"/>
      <c r="G17" s="101"/>
      <c r="H17" s="101"/>
      <c r="I17" s="101"/>
      <c r="J17" s="101"/>
      <c r="K17" s="101"/>
      <c r="L17" s="106"/>
      <c r="N17" s="30" t="s">
        <v>90</v>
      </c>
      <c r="O17" s="30" t="s">
        <v>66</v>
      </c>
      <c r="P17" s="30" t="s">
        <v>69</v>
      </c>
      <c r="Q17" s="30" t="s">
        <v>71</v>
      </c>
      <c r="R17" s="30" t="s">
        <v>128</v>
      </c>
      <c r="S17" s="30" t="s">
        <v>129</v>
      </c>
      <c r="T17" s="30" t="s">
        <v>130</v>
      </c>
      <c r="U17" s="30" t="s">
        <v>132</v>
      </c>
      <c r="V17" s="30" t="s">
        <v>133</v>
      </c>
      <c r="W17" s="30" t="s">
        <v>134</v>
      </c>
      <c r="X17" s="30" t="s">
        <v>83</v>
      </c>
      <c r="Y17" s="30" t="s">
        <v>137</v>
      </c>
      <c r="Z17" s="30" t="s">
        <v>139</v>
      </c>
    </row>
    <row r="18" spans="1:26" ht="15" thickBot="1">
      <c r="A18" s="100">
        <v>10</v>
      </c>
      <c r="B18" s="101" t="s">
        <v>11</v>
      </c>
      <c r="C18" s="100" t="s">
        <v>12</v>
      </c>
      <c r="D18" s="100">
        <v>6</v>
      </c>
      <c r="E18" s="100">
        <v>1.2999999999999999E-2</v>
      </c>
      <c r="F18" s="100">
        <v>1.23E-2</v>
      </c>
      <c r="G18" s="100">
        <v>9.7999999999999997E-3</v>
      </c>
      <c r="H18" s="100">
        <v>9.7000000000000003E-3</v>
      </c>
      <c r="I18" s="100">
        <v>7.3000000000000001E-3</v>
      </c>
      <c r="J18" s="100">
        <v>7.1999999999999998E-3</v>
      </c>
      <c r="K18" s="100">
        <v>7.1999999999999998E-3</v>
      </c>
      <c r="L18" s="98">
        <f t="shared" ref="L18:L33" si="1">J18</f>
        <v>7.1999999999999998E-3</v>
      </c>
      <c r="M18">
        <f>SUM(N18:Z18)</f>
        <v>4.7599999999999996E-2</v>
      </c>
      <c r="N18" s="26">
        <f>L8</f>
        <v>1.5E-3</v>
      </c>
      <c r="O18" s="26">
        <f>L18</f>
        <v>7.1999999999999998E-3</v>
      </c>
      <c r="P18" s="26">
        <f>L35</f>
        <v>1.5E-3</v>
      </c>
      <c r="Q18" s="26">
        <f>L45</f>
        <v>5.9999999999999995E-4</v>
      </c>
      <c r="S18" s="26">
        <f>L66</f>
        <v>2.2499999999999999E-2</v>
      </c>
      <c r="T18" s="26">
        <f>L83</f>
        <v>2.0999999999999999E-3</v>
      </c>
      <c r="U18" s="26">
        <f>L93</f>
        <v>1.2999999999999999E-3</v>
      </c>
      <c r="V18" s="26">
        <f>L103</f>
        <v>2.3999999999999998E-3</v>
      </c>
      <c r="W18" s="26">
        <f>L113</f>
        <v>2.3999999999999998E-3</v>
      </c>
      <c r="X18" s="26">
        <f>L123</f>
        <v>5.0000000000000001E-4</v>
      </c>
      <c r="Y18" s="26">
        <f>L133</f>
        <v>1E-3</v>
      </c>
      <c r="Z18" s="26">
        <f>L143</f>
        <v>4.5999999999999999E-3</v>
      </c>
    </row>
    <row r="19" spans="1:26" ht="15" thickBot="1">
      <c r="A19" s="100">
        <v>11</v>
      </c>
      <c r="B19" s="101" t="s">
        <v>10</v>
      </c>
      <c r="C19" s="100" t="s">
        <v>4</v>
      </c>
      <c r="D19" s="100">
        <v>6</v>
      </c>
      <c r="E19" s="100">
        <v>1.2999999999999999E-2</v>
      </c>
      <c r="F19" s="100">
        <v>1.23E-2</v>
      </c>
      <c r="G19" s="100">
        <v>9.7999999999999997E-3</v>
      </c>
      <c r="H19" s="100">
        <v>9.7000000000000003E-3</v>
      </c>
      <c r="I19" s="100">
        <v>7.3000000000000001E-3</v>
      </c>
      <c r="J19" s="100">
        <v>7.1999999999999998E-3</v>
      </c>
      <c r="K19" s="100">
        <v>7.1999999999999998E-3</v>
      </c>
      <c r="L19" s="98">
        <f t="shared" si="1"/>
        <v>7.1999999999999998E-3</v>
      </c>
      <c r="M19">
        <f t="shared" ref="M19:M33" si="2">SUM(N19:Z19)</f>
        <v>4.7599999999999996E-2</v>
      </c>
      <c r="N19" s="26">
        <f t="shared" ref="N19:N26" si="3">L9</f>
        <v>1.5E-3</v>
      </c>
      <c r="O19" s="26">
        <f t="shared" ref="O19:O33" si="4">L19</f>
        <v>7.1999999999999998E-3</v>
      </c>
      <c r="P19" s="26">
        <f t="shared" ref="P19:P26" si="5">L36</f>
        <v>1.5E-3</v>
      </c>
      <c r="Q19" s="26">
        <f t="shared" ref="Q19:Q26" si="6">L46</f>
        <v>5.9999999999999995E-4</v>
      </c>
      <c r="S19" s="26">
        <f t="shared" ref="S19:S33" si="7">L67</f>
        <v>2.2499999999999999E-2</v>
      </c>
      <c r="T19" s="26">
        <f t="shared" ref="T19:T26" si="8">L84</f>
        <v>2.0999999999999999E-3</v>
      </c>
      <c r="U19" s="26">
        <f t="shared" ref="U19:U26" si="9">L94</f>
        <v>1.2999999999999999E-3</v>
      </c>
      <c r="V19" s="26">
        <f t="shared" ref="V19:V26" si="10">L104</f>
        <v>2.3999999999999998E-3</v>
      </c>
      <c r="W19" s="26">
        <f t="shared" ref="W19:W26" si="11">L114</f>
        <v>2.3999999999999998E-3</v>
      </c>
      <c r="X19" s="26">
        <f t="shared" ref="X19:X26" si="12">L124</f>
        <v>5.0000000000000001E-4</v>
      </c>
      <c r="Y19" s="26">
        <f t="shared" ref="Y19:Y26" si="13">L134</f>
        <v>1E-3</v>
      </c>
      <c r="Z19" s="26">
        <f t="shared" ref="Z19:Z26" si="14">L144</f>
        <v>4.5999999999999999E-3</v>
      </c>
    </row>
    <row r="20" spans="1:26" ht="15" thickBot="1">
      <c r="A20" s="100">
        <v>13</v>
      </c>
      <c r="B20" s="101" t="s">
        <v>8</v>
      </c>
      <c r="C20" s="100" t="s">
        <v>7</v>
      </c>
      <c r="D20" s="100">
        <v>6</v>
      </c>
      <c r="E20" s="100">
        <v>6.4999999999999997E-3</v>
      </c>
      <c r="F20" s="100">
        <v>6.1500000000000001E-3</v>
      </c>
      <c r="G20" s="100">
        <v>4.8999999999999998E-3</v>
      </c>
      <c r="H20" s="100">
        <v>4.8500000000000001E-3</v>
      </c>
      <c r="I20" s="100">
        <v>3.7000000000000002E-3</v>
      </c>
      <c r="J20" s="100">
        <v>3.5999999999999999E-3</v>
      </c>
      <c r="K20" s="100">
        <v>3.5999999999999999E-3</v>
      </c>
      <c r="L20" s="98">
        <f t="shared" si="1"/>
        <v>3.5999999999999999E-3</v>
      </c>
      <c r="M20">
        <f t="shared" si="2"/>
        <v>2.41E-2</v>
      </c>
      <c r="N20" s="26">
        <f t="shared" si="3"/>
        <v>8.0000000000000004E-4</v>
      </c>
      <c r="O20" s="26">
        <f t="shared" si="4"/>
        <v>3.5999999999999999E-3</v>
      </c>
      <c r="P20" s="26">
        <f t="shared" si="5"/>
        <v>8.0000000000000004E-4</v>
      </c>
      <c r="Q20" s="26">
        <f t="shared" si="6"/>
        <v>2.9999999999999997E-4</v>
      </c>
      <c r="S20" s="26">
        <f t="shared" si="7"/>
        <v>1.1299999999999999E-2</v>
      </c>
      <c r="T20" s="26">
        <f t="shared" si="8"/>
        <v>1.1000000000000001E-3</v>
      </c>
      <c r="U20" s="26">
        <f t="shared" si="9"/>
        <v>6.9999999999999999E-4</v>
      </c>
      <c r="V20" s="26">
        <f t="shared" si="10"/>
        <v>1.1999999999999999E-3</v>
      </c>
      <c r="W20" s="26">
        <f t="shared" si="11"/>
        <v>1.1999999999999999E-3</v>
      </c>
      <c r="X20" s="26">
        <f t="shared" si="12"/>
        <v>2.9999999999999997E-4</v>
      </c>
      <c r="Y20" s="26">
        <f t="shared" si="13"/>
        <v>5.0000000000000001E-4</v>
      </c>
      <c r="Z20" s="26">
        <f t="shared" si="14"/>
        <v>2.3E-3</v>
      </c>
    </row>
    <row r="21" spans="1:26" ht="15" thickBot="1">
      <c r="A21" s="100">
        <v>14</v>
      </c>
      <c r="B21" s="101" t="s">
        <v>119</v>
      </c>
      <c r="C21" s="100" t="s">
        <v>7</v>
      </c>
      <c r="D21" s="100">
        <v>1</v>
      </c>
      <c r="E21" s="100">
        <v>6.4999999999999997E-3</v>
      </c>
      <c r="F21" s="100">
        <v>6.1500000000000001E-3</v>
      </c>
      <c r="G21" s="100">
        <v>4.8999999999999998E-3</v>
      </c>
      <c r="H21" s="100">
        <v>4.8500000000000001E-3</v>
      </c>
      <c r="I21" s="100">
        <v>3.7000000000000002E-3</v>
      </c>
      <c r="J21" s="100">
        <v>3.5999999999999999E-3</v>
      </c>
      <c r="K21" s="100">
        <v>3.5999999999999999E-3</v>
      </c>
      <c r="L21" s="98">
        <f t="shared" si="1"/>
        <v>3.5999999999999999E-3</v>
      </c>
      <c r="M21">
        <f t="shared" si="2"/>
        <v>2.41E-2</v>
      </c>
      <c r="N21" s="26">
        <f t="shared" si="3"/>
        <v>8.0000000000000004E-4</v>
      </c>
      <c r="O21" s="26">
        <f t="shared" si="4"/>
        <v>3.5999999999999999E-3</v>
      </c>
      <c r="P21" s="26">
        <f t="shared" si="5"/>
        <v>8.0000000000000004E-4</v>
      </c>
      <c r="Q21" s="26">
        <f t="shared" si="6"/>
        <v>2.9999999999999997E-4</v>
      </c>
      <c r="S21" s="26">
        <f t="shared" si="7"/>
        <v>1.1299999999999999E-2</v>
      </c>
      <c r="T21" s="26">
        <f t="shared" si="8"/>
        <v>1.1000000000000001E-3</v>
      </c>
      <c r="U21" s="26">
        <f t="shared" si="9"/>
        <v>6.9999999999999999E-4</v>
      </c>
      <c r="V21" s="26">
        <f t="shared" si="10"/>
        <v>1.1999999999999999E-3</v>
      </c>
      <c r="W21" s="26">
        <f t="shared" si="11"/>
        <v>1.1999999999999999E-3</v>
      </c>
      <c r="X21" s="26">
        <f t="shared" si="12"/>
        <v>2.9999999999999997E-4</v>
      </c>
      <c r="Y21" s="26">
        <f t="shared" si="13"/>
        <v>5.0000000000000001E-4</v>
      </c>
      <c r="Z21" s="26">
        <f t="shared" si="14"/>
        <v>2.3E-3</v>
      </c>
    </row>
    <row r="22" spans="1:26" ht="15" thickBot="1">
      <c r="A22" s="100">
        <v>15</v>
      </c>
      <c r="B22" s="101" t="s">
        <v>6</v>
      </c>
      <c r="C22" s="100" t="s">
        <v>7</v>
      </c>
      <c r="D22" s="100">
        <v>1</v>
      </c>
      <c r="E22" s="100">
        <v>6.4999999999999997E-3</v>
      </c>
      <c r="F22" s="100">
        <v>6.1500000000000001E-3</v>
      </c>
      <c r="G22" s="100">
        <v>4.8999999999999998E-3</v>
      </c>
      <c r="H22" s="100">
        <v>4.8500000000000001E-3</v>
      </c>
      <c r="I22" s="100">
        <v>3.7000000000000002E-3</v>
      </c>
      <c r="J22" s="100">
        <v>3.5999999999999999E-3</v>
      </c>
      <c r="K22" s="100">
        <v>3.5999999999999999E-3</v>
      </c>
      <c r="L22" s="98">
        <f t="shared" si="1"/>
        <v>3.5999999999999999E-3</v>
      </c>
      <c r="M22">
        <f t="shared" si="2"/>
        <v>2.41E-2</v>
      </c>
      <c r="N22" s="26">
        <f t="shared" si="3"/>
        <v>8.0000000000000004E-4</v>
      </c>
      <c r="O22" s="26">
        <f t="shared" si="4"/>
        <v>3.5999999999999999E-3</v>
      </c>
      <c r="P22" s="26">
        <f t="shared" si="5"/>
        <v>8.0000000000000004E-4</v>
      </c>
      <c r="Q22" s="26">
        <f t="shared" si="6"/>
        <v>2.9999999999999997E-4</v>
      </c>
      <c r="S22" s="26">
        <f t="shared" si="7"/>
        <v>1.1299999999999999E-2</v>
      </c>
      <c r="T22" s="26">
        <f t="shared" si="8"/>
        <v>1.1000000000000001E-3</v>
      </c>
      <c r="U22" s="26">
        <f t="shared" si="9"/>
        <v>6.9999999999999999E-4</v>
      </c>
      <c r="V22" s="26">
        <f t="shared" si="10"/>
        <v>1.1999999999999999E-3</v>
      </c>
      <c r="W22" s="26">
        <f t="shared" si="11"/>
        <v>1.1999999999999999E-3</v>
      </c>
      <c r="X22" s="26">
        <f t="shared" si="12"/>
        <v>2.9999999999999997E-4</v>
      </c>
      <c r="Y22" s="26">
        <f t="shared" si="13"/>
        <v>5.0000000000000001E-4</v>
      </c>
      <c r="Z22" s="26">
        <f t="shared" si="14"/>
        <v>2.3E-3</v>
      </c>
    </row>
    <row r="23" spans="1:26" ht="15" thickBot="1">
      <c r="A23" s="100">
        <v>16</v>
      </c>
      <c r="B23" s="101" t="s">
        <v>9</v>
      </c>
      <c r="C23" s="100" t="s">
        <v>4</v>
      </c>
      <c r="D23" s="100">
        <v>1</v>
      </c>
      <c r="E23" s="100">
        <v>1.2999999999999999E-2</v>
      </c>
      <c r="F23" s="100">
        <v>1.23E-2</v>
      </c>
      <c r="G23" s="100">
        <v>9.7999999999999997E-3</v>
      </c>
      <c r="H23" s="100">
        <v>9.7000000000000003E-3</v>
      </c>
      <c r="I23" s="100">
        <v>7.3000000000000001E-3</v>
      </c>
      <c r="J23" s="100">
        <v>7.1999999999999998E-3</v>
      </c>
      <c r="K23" s="100">
        <v>7.1999999999999998E-3</v>
      </c>
      <c r="L23" s="98">
        <f t="shared" si="1"/>
        <v>7.1999999999999998E-3</v>
      </c>
      <c r="M23">
        <f t="shared" si="2"/>
        <v>4.7599999999999996E-2</v>
      </c>
      <c r="N23" s="26">
        <f t="shared" si="3"/>
        <v>1.5E-3</v>
      </c>
      <c r="O23" s="26">
        <f t="shared" si="4"/>
        <v>7.1999999999999998E-3</v>
      </c>
      <c r="P23" s="26">
        <f t="shared" si="5"/>
        <v>1.5E-3</v>
      </c>
      <c r="Q23" s="26">
        <f t="shared" si="6"/>
        <v>5.9999999999999995E-4</v>
      </c>
      <c r="S23" s="26">
        <f t="shared" si="7"/>
        <v>2.2499999999999999E-2</v>
      </c>
      <c r="T23" s="26">
        <f t="shared" si="8"/>
        <v>2.0999999999999999E-3</v>
      </c>
      <c r="U23" s="26">
        <f t="shared" si="9"/>
        <v>1.2999999999999999E-3</v>
      </c>
      <c r="V23" s="26">
        <f t="shared" si="10"/>
        <v>2.3999999999999998E-3</v>
      </c>
      <c r="W23" s="26">
        <f t="shared" si="11"/>
        <v>2.3999999999999998E-3</v>
      </c>
      <c r="X23" s="26">
        <f t="shared" si="12"/>
        <v>5.0000000000000001E-4</v>
      </c>
      <c r="Y23" s="26">
        <f t="shared" si="13"/>
        <v>1E-3</v>
      </c>
      <c r="Z23" s="26">
        <f t="shared" si="14"/>
        <v>4.5999999999999999E-3</v>
      </c>
    </row>
    <row r="24" spans="1:26" ht="15" thickBot="1">
      <c r="A24" s="100">
        <v>17</v>
      </c>
      <c r="B24" s="101" t="s">
        <v>13</v>
      </c>
      <c r="C24" s="100" t="s">
        <v>4</v>
      </c>
      <c r="D24" s="100">
        <v>12</v>
      </c>
      <c r="E24" s="100">
        <v>6.4999999999999997E-3</v>
      </c>
      <c r="F24" s="100">
        <v>6.1500000000000001E-3</v>
      </c>
      <c r="G24" s="100">
        <v>4.8999999999999998E-3</v>
      </c>
      <c r="H24" s="100">
        <v>4.8500000000000001E-3</v>
      </c>
      <c r="I24" s="100">
        <v>3.7000000000000002E-3</v>
      </c>
      <c r="J24" s="100">
        <v>3.5999999999999999E-3</v>
      </c>
      <c r="K24" s="100">
        <v>3.5999999999999999E-3</v>
      </c>
      <c r="L24" s="98">
        <f t="shared" si="1"/>
        <v>3.5999999999999999E-3</v>
      </c>
      <c r="M24">
        <f t="shared" si="2"/>
        <v>2.41E-2</v>
      </c>
      <c r="N24" s="26">
        <f t="shared" si="3"/>
        <v>8.0000000000000004E-4</v>
      </c>
      <c r="O24" s="26">
        <f t="shared" si="4"/>
        <v>3.5999999999999999E-3</v>
      </c>
      <c r="P24" s="26">
        <f t="shared" si="5"/>
        <v>8.0000000000000004E-4</v>
      </c>
      <c r="Q24" s="26">
        <f t="shared" si="6"/>
        <v>2.9999999999999997E-4</v>
      </c>
      <c r="S24" s="26">
        <f t="shared" si="7"/>
        <v>1.1299999999999999E-2</v>
      </c>
      <c r="T24" s="26">
        <f t="shared" si="8"/>
        <v>1.1000000000000001E-3</v>
      </c>
      <c r="U24" s="26">
        <f t="shared" si="9"/>
        <v>6.9999999999999999E-4</v>
      </c>
      <c r="V24" s="26">
        <f t="shared" si="10"/>
        <v>1.1999999999999999E-3</v>
      </c>
      <c r="W24" s="26">
        <f t="shared" si="11"/>
        <v>1.1999999999999999E-3</v>
      </c>
      <c r="X24" s="26">
        <f t="shared" si="12"/>
        <v>2.9999999999999997E-4</v>
      </c>
      <c r="Y24" s="26">
        <f t="shared" si="13"/>
        <v>5.0000000000000001E-4</v>
      </c>
      <c r="Z24" s="26">
        <f t="shared" si="14"/>
        <v>2.3E-3</v>
      </c>
    </row>
    <row r="25" spans="1:26" ht="15" thickBot="1">
      <c r="A25" s="100">
        <v>18</v>
      </c>
      <c r="B25" s="101" t="s">
        <v>3</v>
      </c>
      <c r="C25" s="100" t="s">
        <v>4</v>
      </c>
      <c r="D25" s="100">
        <v>12</v>
      </c>
      <c r="E25" s="100">
        <v>1.2999999999999999E-2</v>
      </c>
      <c r="F25" s="100">
        <v>1.23E-2</v>
      </c>
      <c r="G25" s="100">
        <v>9.7999999999999997E-3</v>
      </c>
      <c r="H25" s="100">
        <v>9.7000000000000003E-3</v>
      </c>
      <c r="I25" s="100">
        <v>7.3000000000000001E-3</v>
      </c>
      <c r="J25" s="100">
        <v>7.1999999999999998E-3</v>
      </c>
      <c r="K25" s="100">
        <v>7.1999999999999998E-3</v>
      </c>
      <c r="L25" s="98">
        <f t="shared" si="1"/>
        <v>7.1999999999999998E-3</v>
      </c>
      <c r="M25">
        <f t="shared" si="2"/>
        <v>4.7599999999999996E-2</v>
      </c>
      <c r="N25" s="26">
        <f t="shared" si="3"/>
        <v>1.5E-3</v>
      </c>
      <c r="O25" s="26">
        <f t="shared" si="4"/>
        <v>7.1999999999999998E-3</v>
      </c>
      <c r="P25" s="26">
        <f t="shared" si="5"/>
        <v>1.5E-3</v>
      </c>
      <c r="Q25" s="26">
        <f t="shared" si="6"/>
        <v>5.9999999999999995E-4</v>
      </c>
      <c r="S25" s="26">
        <f t="shared" si="7"/>
        <v>2.2499999999999999E-2</v>
      </c>
      <c r="T25" s="26">
        <f t="shared" si="8"/>
        <v>2.0999999999999999E-3</v>
      </c>
      <c r="U25" s="26">
        <f t="shared" si="9"/>
        <v>1.2999999999999999E-3</v>
      </c>
      <c r="V25" s="26">
        <f t="shared" si="10"/>
        <v>2.3999999999999998E-3</v>
      </c>
      <c r="W25" s="26">
        <f t="shared" si="11"/>
        <v>2.3999999999999998E-3</v>
      </c>
      <c r="X25" s="26">
        <f t="shared" si="12"/>
        <v>5.0000000000000001E-4</v>
      </c>
      <c r="Y25" s="26">
        <f t="shared" si="13"/>
        <v>1E-3</v>
      </c>
      <c r="Z25" s="26">
        <f t="shared" si="14"/>
        <v>4.5999999999999999E-3</v>
      </c>
    </row>
    <row r="26" spans="1:26" s="44" customFormat="1" ht="15" thickBot="1">
      <c r="A26" s="102">
        <v>19</v>
      </c>
      <c r="B26" s="105" t="s">
        <v>14</v>
      </c>
      <c r="C26" s="102" t="s">
        <v>7</v>
      </c>
      <c r="D26" s="102">
        <v>12</v>
      </c>
      <c r="E26" s="102">
        <v>6.4999999999999997E-3</v>
      </c>
      <c r="F26" s="102">
        <v>6.1500000000000001E-3</v>
      </c>
      <c r="G26" s="102">
        <v>4.8999999999999998E-3</v>
      </c>
      <c r="H26" s="102">
        <v>4.8500000000000001E-3</v>
      </c>
      <c r="I26" s="102">
        <v>3.7000000000000002E-3</v>
      </c>
      <c r="J26" s="102">
        <v>3.5999999999999999E-3</v>
      </c>
      <c r="K26" s="102">
        <v>3.5999999999999999E-3</v>
      </c>
      <c r="L26" s="98">
        <f t="shared" si="1"/>
        <v>3.5999999999999999E-3</v>
      </c>
      <c r="M26">
        <f t="shared" si="2"/>
        <v>2.4800000000000003E-2</v>
      </c>
      <c r="N26" s="26">
        <f t="shared" si="3"/>
        <v>1.5E-3</v>
      </c>
      <c r="O26" s="26">
        <f t="shared" si="4"/>
        <v>3.5999999999999999E-3</v>
      </c>
      <c r="P26" s="26">
        <f t="shared" si="5"/>
        <v>8.0000000000000004E-4</v>
      </c>
      <c r="Q26" s="26">
        <f t="shared" si="6"/>
        <v>2.9999999999999997E-4</v>
      </c>
      <c r="S26" s="26">
        <f t="shared" si="7"/>
        <v>1.1299999999999999E-2</v>
      </c>
      <c r="T26" s="26">
        <f t="shared" si="8"/>
        <v>1.1000000000000001E-3</v>
      </c>
      <c r="U26" s="26">
        <f t="shared" si="9"/>
        <v>6.9999999999999999E-4</v>
      </c>
      <c r="V26" s="26">
        <f t="shared" si="10"/>
        <v>1.1999999999999999E-3</v>
      </c>
      <c r="W26" s="26">
        <f t="shared" si="11"/>
        <v>1.1999999999999999E-3</v>
      </c>
      <c r="X26" s="26">
        <f t="shared" si="12"/>
        <v>2.9999999999999997E-4</v>
      </c>
      <c r="Y26" s="26">
        <f t="shared" si="13"/>
        <v>5.0000000000000001E-4</v>
      </c>
      <c r="Z26" s="26">
        <f t="shared" si="14"/>
        <v>2.3E-3</v>
      </c>
    </row>
    <row r="27" spans="1:26" ht="15" thickBot="1">
      <c r="A27" s="100">
        <v>20</v>
      </c>
      <c r="B27" s="101" t="s">
        <v>5</v>
      </c>
      <c r="C27" s="100" t="s">
        <v>4</v>
      </c>
      <c r="D27" s="100">
        <v>12</v>
      </c>
      <c r="E27" s="100">
        <v>1.2999999999999999E-2</v>
      </c>
      <c r="F27" s="100">
        <v>1.23E-2</v>
      </c>
      <c r="G27" s="100">
        <v>9.7999999999999997E-3</v>
      </c>
      <c r="H27" s="100">
        <v>9.7000000000000003E-3</v>
      </c>
      <c r="I27" s="100">
        <v>5.1000000000000004E-3</v>
      </c>
      <c r="J27" s="100">
        <v>5.0000000000000001E-3</v>
      </c>
      <c r="K27" s="100">
        <v>5.0000000000000001E-3</v>
      </c>
      <c r="L27" s="98">
        <f t="shared" si="1"/>
        <v>5.0000000000000001E-3</v>
      </c>
      <c r="M27">
        <f t="shared" si="2"/>
        <v>1.6299999999999999E-2</v>
      </c>
      <c r="O27" s="26">
        <f t="shared" si="4"/>
        <v>5.0000000000000001E-3</v>
      </c>
      <c r="R27" s="25"/>
      <c r="S27" s="26">
        <f t="shared" si="7"/>
        <v>1.1299999999999999E-2</v>
      </c>
    </row>
    <row r="28" spans="1:26" ht="15" thickBot="1">
      <c r="A28" s="100">
        <v>21</v>
      </c>
      <c r="B28" s="101" t="s">
        <v>15</v>
      </c>
      <c r="C28" s="100" t="s">
        <v>4</v>
      </c>
      <c r="D28" s="100">
        <v>6</v>
      </c>
      <c r="E28" s="100">
        <v>9.1000000000000004E-3</v>
      </c>
      <c r="F28" s="100">
        <v>8.6099999999999996E-3</v>
      </c>
      <c r="G28" s="100">
        <v>6.8599999999999998E-3</v>
      </c>
      <c r="H28" s="100">
        <v>6.79E-3</v>
      </c>
      <c r="I28" s="100">
        <v>5.1000000000000004E-3</v>
      </c>
      <c r="J28" s="100">
        <v>5.0000000000000001E-3</v>
      </c>
      <c r="K28" s="100">
        <v>5.0000000000000001E-3</v>
      </c>
      <c r="L28" s="98">
        <f t="shared" si="1"/>
        <v>5.0000000000000001E-3</v>
      </c>
      <c r="M28">
        <f t="shared" si="2"/>
        <v>2.0750000000000001E-2</v>
      </c>
      <c r="O28" s="26">
        <f t="shared" si="4"/>
        <v>5.0000000000000001E-3</v>
      </c>
      <c r="R28" s="25"/>
      <c r="S28" s="26">
        <f t="shared" si="7"/>
        <v>1.575E-2</v>
      </c>
    </row>
    <row r="29" spans="1:26" ht="15" thickBot="1">
      <c r="A29" s="100">
        <v>22</v>
      </c>
      <c r="B29" s="101" t="s">
        <v>120</v>
      </c>
      <c r="C29" s="100" t="s">
        <v>4</v>
      </c>
      <c r="D29" s="100">
        <v>12</v>
      </c>
      <c r="E29" s="100">
        <v>9.1000000000000004E-3</v>
      </c>
      <c r="F29" s="100">
        <v>8.6099999999999996E-3</v>
      </c>
      <c r="G29" s="100">
        <v>6.8599999999999998E-3</v>
      </c>
      <c r="H29" s="100">
        <v>6.79E-3</v>
      </c>
      <c r="I29" s="100">
        <v>5.1000000000000004E-3</v>
      </c>
      <c r="J29" s="100">
        <v>5.0000000000000001E-3</v>
      </c>
      <c r="K29" s="100">
        <v>5.0000000000000001E-3</v>
      </c>
      <c r="L29" s="98">
        <f t="shared" si="1"/>
        <v>5.0000000000000001E-3</v>
      </c>
      <c r="M29">
        <f t="shared" si="2"/>
        <v>2.0750000000000001E-2</v>
      </c>
      <c r="O29" s="26">
        <f t="shared" si="4"/>
        <v>5.0000000000000001E-3</v>
      </c>
      <c r="R29" s="25"/>
      <c r="S29" s="26">
        <f t="shared" si="7"/>
        <v>1.575E-2</v>
      </c>
    </row>
    <row r="30" spans="1:26" ht="15" thickBot="1">
      <c r="A30" s="100">
        <v>23</v>
      </c>
      <c r="B30" s="101" t="s">
        <v>121</v>
      </c>
      <c r="C30" s="100" t="s">
        <v>4</v>
      </c>
      <c r="D30" s="100">
        <v>12</v>
      </c>
      <c r="E30" s="100">
        <v>1.2999999999999999E-2</v>
      </c>
      <c r="F30" s="100">
        <v>1.23E-2</v>
      </c>
      <c r="G30" s="100">
        <v>9.7999999999999997E-3</v>
      </c>
      <c r="H30" s="100">
        <v>9.7000000000000003E-3</v>
      </c>
      <c r="I30" s="100">
        <v>7.3000000000000001E-3</v>
      </c>
      <c r="J30" s="100">
        <v>7.1999999999999998E-3</v>
      </c>
      <c r="K30" s="100">
        <v>7.1999999999999998E-3</v>
      </c>
      <c r="L30" s="98">
        <f t="shared" si="1"/>
        <v>7.1999999999999998E-3</v>
      </c>
      <c r="M30">
        <f t="shared" si="2"/>
        <v>2.9699999999999997E-2</v>
      </c>
      <c r="O30" s="26">
        <f t="shared" si="4"/>
        <v>7.1999999999999998E-3</v>
      </c>
      <c r="R30" s="25"/>
      <c r="S30" s="26">
        <f t="shared" si="7"/>
        <v>2.2499999999999999E-2</v>
      </c>
    </row>
    <row r="31" spans="1:26" ht="15" thickBot="1">
      <c r="A31" s="100">
        <v>24</v>
      </c>
      <c r="B31" s="101" t="s">
        <v>122</v>
      </c>
      <c r="C31" s="100" t="s">
        <v>4</v>
      </c>
      <c r="D31" s="100">
        <v>12</v>
      </c>
      <c r="E31" s="100">
        <v>1.2999999999999999E-2</v>
      </c>
      <c r="F31" s="100">
        <v>1.23E-2</v>
      </c>
      <c r="G31" s="100">
        <v>9.7999999999999997E-3</v>
      </c>
      <c r="H31" s="100">
        <v>9.7000000000000003E-3</v>
      </c>
      <c r="I31" s="100">
        <v>7.3000000000000001E-3</v>
      </c>
      <c r="J31" s="100">
        <v>7.1999999999999998E-3</v>
      </c>
      <c r="K31" s="100">
        <v>7.1999999999999998E-3</v>
      </c>
      <c r="L31" s="98">
        <f t="shared" si="1"/>
        <v>7.1999999999999998E-3</v>
      </c>
      <c r="M31">
        <f t="shared" si="2"/>
        <v>2.9699999999999997E-2</v>
      </c>
      <c r="O31" s="26">
        <f t="shared" si="4"/>
        <v>7.1999999999999998E-3</v>
      </c>
      <c r="R31" s="25"/>
      <c r="S31" s="26">
        <f t="shared" si="7"/>
        <v>2.2499999999999999E-2</v>
      </c>
    </row>
    <row r="32" spans="1:26" ht="15" thickBot="1">
      <c r="A32" s="100">
        <v>25</v>
      </c>
      <c r="B32" s="101" t="s">
        <v>123</v>
      </c>
      <c r="C32" s="100" t="s">
        <v>4</v>
      </c>
      <c r="D32" s="100">
        <v>12</v>
      </c>
      <c r="E32" s="100">
        <v>1.2999999999999999E-2</v>
      </c>
      <c r="F32" s="100">
        <v>1.23E-2</v>
      </c>
      <c r="G32" s="100">
        <v>9.7999999999999997E-3</v>
      </c>
      <c r="H32" s="100">
        <v>9.7000000000000003E-3</v>
      </c>
      <c r="I32" s="100">
        <v>7.3000000000000001E-3</v>
      </c>
      <c r="J32" s="100">
        <v>7.1999999999999998E-3</v>
      </c>
      <c r="K32" s="100">
        <v>7.1999999999999998E-3</v>
      </c>
      <c r="L32" s="98">
        <f t="shared" si="1"/>
        <v>7.1999999999999998E-3</v>
      </c>
      <c r="M32">
        <f t="shared" si="2"/>
        <v>2.9699999999999997E-2</v>
      </c>
      <c r="O32" s="26">
        <f t="shared" si="4"/>
        <v>7.1999999999999998E-3</v>
      </c>
      <c r="R32" s="25"/>
      <c r="S32" s="26">
        <f t="shared" si="7"/>
        <v>2.2499999999999999E-2</v>
      </c>
    </row>
    <row r="33" spans="1:19" ht="15" thickBot="1">
      <c r="A33" s="100">
        <v>26</v>
      </c>
      <c r="B33" s="101" t="s">
        <v>124</v>
      </c>
      <c r="C33" s="100" t="s">
        <v>4</v>
      </c>
      <c r="D33" s="100">
        <v>12</v>
      </c>
      <c r="E33" s="100">
        <v>6.4999999999999997E-3</v>
      </c>
      <c r="F33" s="100">
        <v>6.1500000000000001E-3</v>
      </c>
      <c r="G33" s="100">
        <v>4.8999999999999998E-3</v>
      </c>
      <c r="H33" s="100">
        <v>4.8500000000000001E-3</v>
      </c>
      <c r="I33" s="100">
        <v>7.3000000000000001E-3</v>
      </c>
      <c r="J33" s="100">
        <v>7.1999999999999998E-3</v>
      </c>
      <c r="K33" s="100">
        <v>7.1999999999999998E-3</v>
      </c>
      <c r="L33" s="98">
        <f t="shared" si="1"/>
        <v>7.1999999999999998E-3</v>
      </c>
      <c r="M33">
        <f t="shared" si="2"/>
        <v>2.9699999999999997E-2</v>
      </c>
      <c r="O33" s="26">
        <f t="shared" si="4"/>
        <v>7.1999999999999998E-3</v>
      </c>
      <c r="R33" s="25"/>
      <c r="S33" s="26">
        <f t="shared" si="7"/>
        <v>2.2499999999999999E-2</v>
      </c>
    </row>
    <row r="34" spans="1:19" ht="40.5">
      <c r="A34" s="107" t="s">
        <v>125</v>
      </c>
      <c r="B34" s="108" t="s">
        <v>69</v>
      </c>
      <c r="C34" s="101"/>
      <c r="D34" s="101"/>
      <c r="E34" s="101"/>
      <c r="F34" s="101"/>
      <c r="G34" s="101"/>
      <c r="H34" s="101"/>
      <c r="I34" s="101"/>
      <c r="J34" s="101"/>
      <c r="K34" s="101"/>
      <c r="L34" s="106"/>
    </row>
    <row r="35" spans="1:19">
      <c r="A35" s="100">
        <v>27</v>
      </c>
      <c r="B35" s="101" t="s">
        <v>11</v>
      </c>
      <c r="C35" s="100" t="s">
        <v>12</v>
      </c>
      <c r="D35" s="100">
        <v>6</v>
      </c>
      <c r="E35" s="100">
        <v>8.0000000000000002E-3</v>
      </c>
      <c r="F35" s="100">
        <v>2.7000000000000001E-3</v>
      </c>
      <c r="G35" s="100">
        <v>3.2000000000000002E-3</v>
      </c>
      <c r="H35" s="100">
        <v>2.3E-3</v>
      </c>
      <c r="I35" s="100">
        <v>1.8E-3</v>
      </c>
      <c r="J35" s="100">
        <v>1.5E-3</v>
      </c>
      <c r="K35" s="100">
        <v>1.5E-3</v>
      </c>
      <c r="L35" s="98">
        <f t="shared" ref="L35:L63" si="15">J35</f>
        <v>1.5E-3</v>
      </c>
    </row>
    <row r="36" spans="1:19">
      <c r="A36" s="100">
        <v>28</v>
      </c>
      <c r="B36" s="101" t="s">
        <v>10</v>
      </c>
      <c r="C36" s="100" t="s">
        <v>4</v>
      </c>
      <c r="D36" s="100">
        <v>6</v>
      </c>
      <c r="E36" s="100">
        <v>8.0000000000000002E-3</v>
      </c>
      <c r="F36" s="100">
        <v>2.7000000000000001E-3</v>
      </c>
      <c r="G36" s="100">
        <v>3.2000000000000002E-3</v>
      </c>
      <c r="H36" s="100">
        <v>2.3E-3</v>
      </c>
      <c r="I36" s="100">
        <v>1.8E-3</v>
      </c>
      <c r="J36" s="100">
        <v>1.5E-3</v>
      </c>
      <c r="K36" s="100">
        <v>1.5E-3</v>
      </c>
      <c r="L36" s="98">
        <f t="shared" si="15"/>
        <v>1.5E-3</v>
      </c>
    </row>
    <row r="37" spans="1:19">
      <c r="A37" s="100">
        <v>29</v>
      </c>
      <c r="B37" s="101" t="s">
        <v>8</v>
      </c>
      <c r="C37" s="100" t="s">
        <v>7</v>
      </c>
      <c r="D37" s="100">
        <v>6</v>
      </c>
      <c r="E37" s="100">
        <v>4.0000000000000001E-3</v>
      </c>
      <c r="F37" s="100">
        <v>1.3500000000000001E-3</v>
      </c>
      <c r="G37" s="100">
        <v>1.6000000000000001E-3</v>
      </c>
      <c r="H37" s="100">
        <v>1.15E-3</v>
      </c>
      <c r="I37" s="100">
        <v>8.9999999999999998E-4</v>
      </c>
      <c r="J37" s="100">
        <v>8.0000000000000004E-4</v>
      </c>
      <c r="K37" s="100">
        <v>8.0000000000000004E-4</v>
      </c>
      <c r="L37" s="98">
        <f t="shared" si="15"/>
        <v>8.0000000000000004E-4</v>
      </c>
    </row>
    <row r="38" spans="1:19">
      <c r="A38" s="100">
        <v>30</v>
      </c>
      <c r="B38" s="101" t="s">
        <v>119</v>
      </c>
      <c r="C38" s="100" t="s">
        <v>7</v>
      </c>
      <c r="D38" s="100">
        <v>1</v>
      </c>
      <c r="E38" s="100">
        <v>4.0000000000000001E-3</v>
      </c>
      <c r="F38" s="100">
        <v>1.3500000000000001E-3</v>
      </c>
      <c r="G38" s="100">
        <v>1.6000000000000001E-3</v>
      </c>
      <c r="H38" s="100">
        <v>1.15E-3</v>
      </c>
      <c r="I38" s="100">
        <v>8.9999999999999998E-4</v>
      </c>
      <c r="J38" s="100">
        <v>8.0000000000000004E-4</v>
      </c>
      <c r="K38" s="100">
        <v>8.0000000000000004E-4</v>
      </c>
      <c r="L38" s="98">
        <f t="shared" si="15"/>
        <v>8.0000000000000004E-4</v>
      </c>
    </row>
    <row r="39" spans="1:19">
      <c r="A39" s="100">
        <v>31</v>
      </c>
      <c r="B39" s="101" t="s">
        <v>6</v>
      </c>
      <c r="C39" s="100" t="s">
        <v>7</v>
      </c>
      <c r="D39" s="100">
        <v>1</v>
      </c>
      <c r="E39" s="100">
        <v>4.0000000000000001E-3</v>
      </c>
      <c r="F39" s="100">
        <v>1.3500000000000001E-3</v>
      </c>
      <c r="G39" s="100">
        <v>1.6000000000000001E-3</v>
      </c>
      <c r="H39" s="100">
        <v>1.15E-3</v>
      </c>
      <c r="I39" s="100">
        <v>8.9999999999999998E-4</v>
      </c>
      <c r="J39" s="100">
        <v>8.0000000000000004E-4</v>
      </c>
      <c r="K39" s="100">
        <v>8.0000000000000004E-4</v>
      </c>
      <c r="L39" s="98">
        <f t="shared" si="15"/>
        <v>8.0000000000000004E-4</v>
      </c>
    </row>
    <row r="40" spans="1:19">
      <c r="A40" s="100">
        <v>32</v>
      </c>
      <c r="B40" s="101" t="s">
        <v>9</v>
      </c>
      <c r="C40" s="100" t="s">
        <v>4</v>
      </c>
      <c r="D40" s="100">
        <v>1</v>
      </c>
      <c r="E40" s="100">
        <v>8.0000000000000002E-3</v>
      </c>
      <c r="F40" s="100">
        <v>2.7000000000000001E-3</v>
      </c>
      <c r="G40" s="100">
        <v>3.2000000000000002E-3</v>
      </c>
      <c r="H40" s="100">
        <v>2.3E-3</v>
      </c>
      <c r="I40" s="100">
        <v>1.8E-3</v>
      </c>
      <c r="J40" s="100">
        <v>1.5E-3</v>
      </c>
      <c r="K40" s="100">
        <v>1.5E-3</v>
      </c>
      <c r="L40" s="98">
        <f t="shared" si="15"/>
        <v>1.5E-3</v>
      </c>
    </row>
    <row r="41" spans="1:19">
      <c r="A41" s="100">
        <v>33</v>
      </c>
      <c r="B41" s="101" t="s">
        <v>13</v>
      </c>
      <c r="C41" s="100" t="s">
        <v>4</v>
      </c>
      <c r="D41" s="100">
        <v>12</v>
      </c>
      <c r="E41" s="100">
        <v>4.0000000000000001E-3</v>
      </c>
      <c r="F41" s="100">
        <v>1.3500000000000001E-3</v>
      </c>
      <c r="G41" s="100">
        <v>1.6000000000000001E-3</v>
      </c>
      <c r="H41" s="100">
        <v>1.15E-3</v>
      </c>
      <c r="I41" s="100">
        <v>8.9999999999999998E-4</v>
      </c>
      <c r="J41" s="100">
        <v>8.0000000000000004E-4</v>
      </c>
      <c r="K41" s="100">
        <v>8.0000000000000004E-4</v>
      </c>
      <c r="L41" s="98">
        <f t="shared" si="15"/>
        <v>8.0000000000000004E-4</v>
      </c>
    </row>
    <row r="42" spans="1:19">
      <c r="A42" s="100">
        <v>34</v>
      </c>
      <c r="B42" s="101" t="s">
        <v>3</v>
      </c>
      <c r="C42" s="100" t="s">
        <v>4</v>
      </c>
      <c r="D42" s="100">
        <v>12</v>
      </c>
      <c r="E42" s="100">
        <v>8.0000000000000002E-3</v>
      </c>
      <c r="F42" s="100">
        <v>2.7000000000000001E-3</v>
      </c>
      <c r="G42" s="100">
        <v>3.2000000000000002E-3</v>
      </c>
      <c r="H42" s="100">
        <v>2.3E-3</v>
      </c>
      <c r="I42" s="100">
        <v>1.8E-3</v>
      </c>
      <c r="J42" s="100">
        <v>1.5E-3</v>
      </c>
      <c r="K42" s="100">
        <v>1.5E-3</v>
      </c>
      <c r="L42" s="98">
        <f t="shared" si="15"/>
        <v>1.5E-3</v>
      </c>
    </row>
    <row r="43" spans="1:19">
      <c r="A43" s="100">
        <v>35</v>
      </c>
      <c r="B43" s="101" t="s">
        <v>14</v>
      </c>
      <c r="C43" s="100" t="s">
        <v>7</v>
      </c>
      <c r="D43" s="100">
        <v>12</v>
      </c>
      <c r="E43" s="100">
        <v>4.0000000000000001E-3</v>
      </c>
      <c r="F43" s="100">
        <v>1.3500000000000001E-3</v>
      </c>
      <c r="G43" s="100">
        <v>1.6000000000000001E-3</v>
      </c>
      <c r="H43" s="100">
        <v>1.15E-3</v>
      </c>
      <c r="I43" s="100">
        <v>8.9999999999999998E-4</v>
      </c>
      <c r="J43" s="100">
        <v>8.0000000000000004E-4</v>
      </c>
      <c r="K43" s="100">
        <v>8.0000000000000004E-4</v>
      </c>
      <c r="L43" s="98">
        <f t="shared" si="15"/>
        <v>8.0000000000000004E-4</v>
      </c>
    </row>
    <row r="44" spans="1:19" ht="54">
      <c r="A44" s="107" t="s">
        <v>126</v>
      </c>
      <c r="B44" s="108" t="s">
        <v>71</v>
      </c>
      <c r="C44" s="101"/>
      <c r="D44" s="101"/>
      <c r="E44" s="101"/>
      <c r="F44" s="101"/>
      <c r="G44" s="101"/>
      <c r="H44" s="101"/>
      <c r="I44" s="101"/>
      <c r="J44" s="101"/>
      <c r="K44" s="101"/>
      <c r="L44" s="106"/>
    </row>
    <row r="45" spans="1:19">
      <c r="A45" s="100">
        <v>36</v>
      </c>
      <c r="B45" s="101" t="s">
        <v>11</v>
      </c>
      <c r="C45" s="100" t="s">
        <v>12</v>
      </c>
      <c r="D45" s="100">
        <v>6</v>
      </c>
      <c r="E45" s="100">
        <v>7.5000000000000002E-4</v>
      </c>
      <c r="F45" s="100">
        <v>6.9999999999999999E-4</v>
      </c>
      <c r="G45" s="100">
        <v>6.4999999999999997E-4</v>
      </c>
      <c r="H45" s="100">
        <v>6.4999999999999997E-4</v>
      </c>
      <c r="I45" s="100">
        <v>5.9999999999999995E-4</v>
      </c>
      <c r="J45" s="100">
        <v>5.9999999999999995E-4</v>
      </c>
      <c r="K45" s="100">
        <v>5.0000000000000001E-4</v>
      </c>
      <c r="L45" s="98">
        <f t="shared" si="15"/>
        <v>5.9999999999999995E-4</v>
      </c>
    </row>
    <row r="46" spans="1:19">
      <c r="A46" s="100">
        <v>37</v>
      </c>
      <c r="B46" s="101" t="s">
        <v>10</v>
      </c>
      <c r="C46" s="100" t="s">
        <v>4</v>
      </c>
      <c r="D46" s="100">
        <v>6</v>
      </c>
      <c r="E46" s="100">
        <v>7.5000000000000002E-4</v>
      </c>
      <c r="F46" s="100">
        <v>6.9999999999999999E-4</v>
      </c>
      <c r="G46" s="100">
        <v>6.4999999999999997E-4</v>
      </c>
      <c r="H46" s="100">
        <v>6.4999999999999997E-4</v>
      </c>
      <c r="I46" s="100">
        <v>5.9999999999999995E-4</v>
      </c>
      <c r="J46" s="100">
        <v>5.9999999999999995E-4</v>
      </c>
      <c r="K46" s="100">
        <v>5.0000000000000001E-4</v>
      </c>
      <c r="L46" s="98">
        <f t="shared" si="15"/>
        <v>5.9999999999999995E-4</v>
      </c>
    </row>
    <row r="47" spans="1:19">
      <c r="A47" s="100">
        <v>38</v>
      </c>
      <c r="B47" s="101" t="s">
        <v>8</v>
      </c>
      <c r="C47" s="100" t="s">
        <v>7</v>
      </c>
      <c r="D47" s="100">
        <v>6</v>
      </c>
      <c r="E47" s="100">
        <v>3.8000000000000002E-4</v>
      </c>
      <c r="F47" s="100">
        <v>3.5E-4</v>
      </c>
      <c r="G47" s="100">
        <v>3.3E-4</v>
      </c>
      <c r="H47" s="100">
        <v>3.3E-4</v>
      </c>
      <c r="I47" s="100">
        <v>2.9999999999999997E-4</v>
      </c>
      <c r="J47" s="100">
        <v>2.9999999999999997E-4</v>
      </c>
      <c r="K47" s="100">
        <v>2.9999999999999997E-4</v>
      </c>
      <c r="L47" s="98">
        <f t="shared" si="15"/>
        <v>2.9999999999999997E-4</v>
      </c>
    </row>
    <row r="48" spans="1:19">
      <c r="A48" s="100">
        <v>39</v>
      </c>
      <c r="B48" s="101" t="s">
        <v>119</v>
      </c>
      <c r="C48" s="100" t="s">
        <v>7</v>
      </c>
      <c r="D48" s="100">
        <v>1</v>
      </c>
      <c r="E48" s="100">
        <v>3.8000000000000002E-4</v>
      </c>
      <c r="F48" s="100">
        <v>3.5E-4</v>
      </c>
      <c r="G48" s="100">
        <v>3.3E-4</v>
      </c>
      <c r="H48" s="100">
        <v>3.3E-4</v>
      </c>
      <c r="I48" s="100">
        <v>2.9999999999999997E-4</v>
      </c>
      <c r="J48" s="100">
        <v>2.9999999999999997E-4</v>
      </c>
      <c r="K48" s="100">
        <v>2.9999999999999997E-4</v>
      </c>
      <c r="L48" s="98">
        <f t="shared" si="15"/>
        <v>2.9999999999999997E-4</v>
      </c>
    </row>
    <row r="49" spans="1:12">
      <c r="A49" s="100">
        <v>40</v>
      </c>
      <c r="B49" s="101" t="s">
        <v>6</v>
      </c>
      <c r="C49" s="100" t="s">
        <v>7</v>
      </c>
      <c r="D49" s="100">
        <v>1</v>
      </c>
      <c r="E49" s="100">
        <v>3.8000000000000002E-4</v>
      </c>
      <c r="F49" s="100">
        <v>3.5E-4</v>
      </c>
      <c r="G49" s="100">
        <v>3.3E-4</v>
      </c>
      <c r="H49" s="100">
        <v>3.3E-4</v>
      </c>
      <c r="I49" s="100">
        <v>2.9999999999999997E-4</v>
      </c>
      <c r="J49" s="100">
        <v>2.9999999999999997E-4</v>
      </c>
      <c r="K49" s="100">
        <v>2.9999999999999997E-4</v>
      </c>
      <c r="L49" s="98">
        <f t="shared" si="15"/>
        <v>2.9999999999999997E-4</v>
      </c>
    </row>
    <row r="50" spans="1:12">
      <c r="A50" s="100">
        <v>41</v>
      </c>
      <c r="B50" s="101" t="s">
        <v>9</v>
      </c>
      <c r="C50" s="100" t="s">
        <v>4</v>
      </c>
      <c r="D50" s="100">
        <v>1</v>
      </c>
      <c r="E50" s="100">
        <v>7.5000000000000002E-4</v>
      </c>
      <c r="F50" s="100">
        <v>6.9999999999999999E-4</v>
      </c>
      <c r="G50" s="100">
        <v>6.4999999999999997E-4</v>
      </c>
      <c r="H50" s="100">
        <v>6.4999999999999997E-4</v>
      </c>
      <c r="I50" s="100">
        <v>5.9999999999999995E-4</v>
      </c>
      <c r="J50" s="100">
        <v>5.9999999999999995E-4</v>
      </c>
      <c r="K50" s="100">
        <v>5.0000000000000001E-4</v>
      </c>
      <c r="L50" s="98">
        <f t="shared" si="15"/>
        <v>5.9999999999999995E-4</v>
      </c>
    </row>
    <row r="51" spans="1:12">
      <c r="A51" s="100">
        <v>42</v>
      </c>
      <c r="B51" s="101" t="s">
        <v>13</v>
      </c>
      <c r="C51" s="100" t="s">
        <v>4</v>
      </c>
      <c r="D51" s="100">
        <v>12</v>
      </c>
      <c r="E51" s="100">
        <v>3.8000000000000002E-4</v>
      </c>
      <c r="F51" s="100">
        <v>3.5E-4</v>
      </c>
      <c r="G51" s="100">
        <v>3.3E-4</v>
      </c>
      <c r="H51" s="100">
        <v>3.3E-4</v>
      </c>
      <c r="I51" s="100">
        <v>2.9999999999999997E-4</v>
      </c>
      <c r="J51" s="100">
        <v>2.9999999999999997E-4</v>
      </c>
      <c r="K51" s="100">
        <v>2.9999999999999997E-4</v>
      </c>
      <c r="L51" s="98">
        <f t="shared" si="15"/>
        <v>2.9999999999999997E-4</v>
      </c>
    </row>
    <row r="52" spans="1:12">
      <c r="A52" s="100">
        <v>43</v>
      </c>
      <c r="B52" s="101" t="s">
        <v>3</v>
      </c>
      <c r="C52" s="100" t="s">
        <v>4</v>
      </c>
      <c r="D52" s="100">
        <v>12</v>
      </c>
      <c r="E52" s="100">
        <v>7.5000000000000002E-4</v>
      </c>
      <c r="F52" s="100">
        <v>6.9999999999999999E-4</v>
      </c>
      <c r="G52" s="100">
        <v>6.4999999999999997E-4</v>
      </c>
      <c r="H52" s="100">
        <v>6.4999999999999997E-4</v>
      </c>
      <c r="I52" s="100">
        <v>5.9999999999999995E-4</v>
      </c>
      <c r="J52" s="100">
        <v>5.9999999999999995E-4</v>
      </c>
      <c r="K52" s="100">
        <v>5.0000000000000001E-4</v>
      </c>
      <c r="L52" s="98">
        <f t="shared" si="15"/>
        <v>5.9999999999999995E-4</v>
      </c>
    </row>
    <row r="53" spans="1:12">
      <c r="A53" s="100">
        <v>44</v>
      </c>
      <c r="B53" s="101" t="s">
        <v>14</v>
      </c>
      <c r="C53" s="100" t="s">
        <v>7</v>
      </c>
      <c r="D53" s="100">
        <v>12</v>
      </c>
      <c r="E53" s="100">
        <v>3.8000000000000002E-4</v>
      </c>
      <c r="F53" s="100">
        <v>3.5E-4</v>
      </c>
      <c r="G53" s="100">
        <v>3.3E-4</v>
      </c>
      <c r="H53" s="100">
        <v>3.3E-4</v>
      </c>
      <c r="I53" s="100">
        <v>2.9999999999999997E-4</v>
      </c>
      <c r="J53" s="100">
        <v>2.9999999999999997E-4</v>
      </c>
      <c r="K53" s="100">
        <v>2.9999999999999997E-4</v>
      </c>
      <c r="L53" s="98">
        <f t="shared" si="15"/>
        <v>2.9999999999999997E-4</v>
      </c>
    </row>
    <row r="54" spans="1:12" ht="40.5">
      <c r="A54" s="107" t="s">
        <v>127</v>
      </c>
      <c r="B54" s="108" t="s">
        <v>330</v>
      </c>
      <c r="C54" s="101"/>
      <c r="D54" s="101"/>
      <c r="E54" s="101"/>
      <c r="F54" s="101"/>
      <c r="G54" s="101"/>
      <c r="H54" s="101"/>
      <c r="I54" s="101"/>
      <c r="J54" s="101"/>
      <c r="K54" s="101"/>
      <c r="L54" s="106"/>
    </row>
    <row r="55" spans="1:12">
      <c r="A55" s="100">
        <v>45</v>
      </c>
      <c r="B55" s="101" t="s">
        <v>11</v>
      </c>
      <c r="C55" s="100" t="s">
        <v>12</v>
      </c>
      <c r="D55" s="100">
        <v>6</v>
      </c>
      <c r="E55" s="100" t="s">
        <v>25</v>
      </c>
      <c r="F55" s="100" t="s">
        <v>25</v>
      </c>
      <c r="G55" s="100" t="s">
        <v>25</v>
      </c>
      <c r="H55" s="100" t="s">
        <v>25</v>
      </c>
      <c r="I55" s="100" t="s">
        <v>25</v>
      </c>
      <c r="J55" s="100" t="s">
        <v>25</v>
      </c>
      <c r="K55" s="100">
        <v>5.0000000000000001E-4</v>
      </c>
      <c r="L55" s="98" t="str">
        <f t="shared" si="15"/>
        <v>-</v>
      </c>
    </row>
    <row r="56" spans="1:12">
      <c r="A56" s="100">
        <v>46</v>
      </c>
      <c r="B56" s="101" t="s">
        <v>10</v>
      </c>
      <c r="C56" s="100" t="s">
        <v>4</v>
      </c>
      <c r="D56" s="100">
        <v>6</v>
      </c>
      <c r="E56" s="100" t="s">
        <v>25</v>
      </c>
      <c r="F56" s="100" t="s">
        <v>25</v>
      </c>
      <c r="G56" s="100" t="s">
        <v>25</v>
      </c>
      <c r="H56" s="100" t="s">
        <v>25</v>
      </c>
      <c r="I56" s="100" t="s">
        <v>25</v>
      </c>
      <c r="J56" s="100" t="s">
        <v>25</v>
      </c>
      <c r="K56" s="100">
        <v>5.0000000000000001E-4</v>
      </c>
      <c r="L56" s="98" t="str">
        <f t="shared" si="15"/>
        <v>-</v>
      </c>
    </row>
    <row r="57" spans="1:12">
      <c r="A57" s="100">
        <v>47</v>
      </c>
      <c r="B57" s="101" t="s">
        <v>8</v>
      </c>
      <c r="C57" s="100" t="s">
        <v>7</v>
      </c>
      <c r="D57" s="100">
        <v>6</v>
      </c>
      <c r="E57" s="100" t="s">
        <v>25</v>
      </c>
      <c r="F57" s="100" t="s">
        <v>25</v>
      </c>
      <c r="G57" s="100" t="s">
        <v>25</v>
      </c>
      <c r="H57" s="100" t="s">
        <v>25</v>
      </c>
      <c r="I57" s="100" t="s">
        <v>25</v>
      </c>
      <c r="J57" s="100" t="s">
        <v>25</v>
      </c>
      <c r="K57" s="100">
        <v>2.9999999999999997E-4</v>
      </c>
      <c r="L57" s="98" t="str">
        <f t="shared" si="15"/>
        <v>-</v>
      </c>
    </row>
    <row r="58" spans="1:12">
      <c r="A58" s="100">
        <v>48</v>
      </c>
      <c r="B58" s="101" t="s">
        <v>119</v>
      </c>
      <c r="C58" s="100" t="s">
        <v>7</v>
      </c>
      <c r="D58" s="100">
        <v>1</v>
      </c>
      <c r="E58" s="100" t="s">
        <v>25</v>
      </c>
      <c r="F58" s="100" t="s">
        <v>25</v>
      </c>
      <c r="G58" s="100" t="s">
        <v>25</v>
      </c>
      <c r="H58" s="100" t="s">
        <v>25</v>
      </c>
      <c r="I58" s="100" t="s">
        <v>25</v>
      </c>
      <c r="J58" s="100" t="s">
        <v>25</v>
      </c>
      <c r="K58" s="100">
        <v>2.9999999999999997E-4</v>
      </c>
      <c r="L58" s="98" t="str">
        <f t="shared" si="15"/>
        <v>-</v>
      </c>
    </row>
    <row r="59" spans="1:12">
      <c r="A59" s="100">
        <v>49</v>
      </c>
      <c r="B59" s="101" t="s">
        <v>6</v>
      </c>
      <c r="C59" s="100" t="s">
        <v>7</v>
      </c>
      <c r="D59" s="100">
        <v>1</v>
      </c>
      <c r="E59" s="100" t="s">
        <v>25</v>
      </c>
      <c r="F59" s="100" t="s">
        <v>25</v>
      </c>
      <c r="G59" s="100" t="s">
        <v>25</v>
      </c>
      <c r="H59" s="100" t="s">
        <v>25</v>
      </c>
      <c r="I59" s="100" t="s">
        <v>25</v>
      </c>
      <c r="J59" s="100" t="s">
        <v>25</v>
      </c>
      <c r="K59" s="100">
        <v>2.9999999999999997E-4</v>
      </c>
      <c r="L59" s="98" t="str">
        <f t="shared" si="15"/>
        <v>-</v>
      </c>
    </row>
    <row r="60" spans="1:12">
      <c r="A60" s="100">
        <v>50</v>
      </c>
      <c r="B60" s="101" t="s">
        <v>9</v>
      </c>
      <c r="C60" s="100" t="s">
        <v>4</v>
      </c>
      <c r="D60" s="100">
        <v>1</v>
      </c>
      <c r="E60" s="100" t="s">
        <v>25</v>
      </c>
      <c r="F60" s="100" t="s">
        <v>25</v>
      </c>
      <c r="G60" s="100" t="s">
        <v>25</v>
      </c>
      <c r="H60" s="100" t="s">
        <v>25</v>
      </c>
      <c r="I60" s="100" t="s">
        <v>25</v>
      </c>
      <c r="J60" s="100" t="s">
        <v>25</v>
      </c>
      <c r="K60" s="100">
        <v>5.0000000000000001E-4</v>
      </c>
      <c r="L60" s="98" t="str">
        <f t="shared" si="15"/>
        <v>-</v>
      </c>
    </row>
    <row r="61" spans="1:12">
      <c r="A61" s="100">
        <v>51</v>
      </c>
      <c r="B61" s="101" t="s">
        <v>13</v>
      </c>
      <c r="C61" s="100" t="s">
        <v>4</v>
      </c>
      <c r="D61" s="100">
        <v>12</v>
      </c>
      <c r="E61" s="100" t="s">
        <v>25</v>
      </c>
      <c r="F61" s="100" t="s">
        <v>25</v>
      </c>
      <c r="G61" s="100" t="s">
        <v>25</v>
      </c>
      <c r="H61" s="100" t="s">
        <v>25</v>
      </c>
      <c r="I61" s="100" t="s">
        <v>25</v>
      </c>
      <c r="J61" s="100" t="s">
        <v>25</v>
      </c>
      <c r="K61" s="100">
        <v>2.9999999999999997E-4</v>
      </c>
      <c r="L61" s="98" t="str">
        <f t="shared" si="15"/>
        <v>-</v>
      </c>
    </row>
    <row r="62" spans="1:12">
      <c r="A62" s="100">
        <v>52</v>
      </c>
      <c r="B62" s="101" t="s">
        <v>3</v>
      </c>
      <c r="C62" s="100" t="s">
        <v>4</v>
      </c>
      <c r="D62" s="100">
        <v>12</v>
      </c>
      <c r="E62" s="100" t="s">
        <v>25</v>
      </c>
      <c r="F62" s="100" t="s">
        <v>25</v>
      </c>
      <c r="G62" s="100" t="s">
        <v>25</v>
      </c>
      <c r="H62" s="100" t="s">
        <v>25</v>
      </c>
      <c r="I62" s="100" t="s">
        <v>25</v>
      </c>
      <c r="J62" s="100" t="s">
        <v>25</v>
      </c>
      <c r="K62" s="100">
        <v>5.0000000000000001E-4</v>
      </c>
      <c r="L62" s="98" t="str">
        <f t="shared" si="15"/>
        <v>-</v>
      </c>
    </row>
    <row r="63" spans="1:12">
      <c r="A63" s="100">
        <v>53</v>
      </c>
      <c r="B63" s="101" t="s">
        <v>14</v>
      </c>
      <c r="C63" s="100" t="s">
        <v>7</v>
      </c>
      <c r="D63" s="100">
        <v>12</v>
      </c>
      <c r="E63" s="100" t="s">
        <v>25</v>
      </c>
      <c r="F63" s="100" t="s">
        <v>25</v>
      </c>
      <c r="G63" s="100" t="s">
        <v>25</v>
      </c>
      <c r="H63" s="100" t="s">
        <v>25</v>
      </c>
      <c r="I63" s="100" t="s">
        <v>25</v>
      </c>
      <c r="J63" s="100" t="s">
        <v>25</v>
      </c>
      <c r="K63" s="100">
        <v>2.9999999999999997E-4</v>
      </c>
      <c r="L63" s="98" t="str">
        <f t="shared" si="15"/>
        <v>-</v>
      </c>
    </row>
    <row r="64" spans="1:12" ht="15">
      <c r="A64" s="98" t="s">
        <v>16</v>
      </c>
      <c r="B64" s="104" t="s">
        <v>73</v>
      </c>
      <c r="C64" s="101"/>
      <c r="D64" s="101"/>
      <c r="E64" s="101"/>
      <c r="F64" s="101"/>
      <c r="G64" s="101"/>
      <c r="H64" s="101"/>
      <c r="I64" s="101"/>
      <c r="J64" s="101"/>
      <c r="K64" s="101"/>
      <c r="L64" s="106"/>
    </row>
    <row r="65" spans="1:12" ht="27">
      <c r="A65" s="107" t="s">
        <v>47</v>
      </c>
      <c r="B65" s="108" t="s">
        <v>129</v>
      </c>
      <c r="C65" s="101"/>
      <c r="D65" s="101"/>
      <c r="E65" s="101"/>
      <c r="F65" s="101"/>
      <c r="G65" s="101"/>
      <c r="H65" s="101"/>
      <c r="I65" s="101"/>
      <c r="J65" s="101"/>
      <c r="K65" s="101"/>
      <c r="L65" s="106"/>
    </row>
    <row r="66" spans="1:12">
      <c r="A66" s="100">
        <v>54</v>
      </c>
      <c r="B66" s="101" t="s">
        <v>11</v>
      </c>
      <c r="C66" s="100" t="s">
        <v>12</v>
      </c>
      <c r="D66" s="100">
        <v>6</v>
      </c>
      <c r="E66" s="100">
        <v>2.5399999999999999E-2</v>
      </c>
      <c r="F66" s="100">
        <v>2.53E-2</v>
      </c>
      <c r="G66" s="100">
        <v>2.35E-2</v>
      </c>
      <c r="H66" s="100">
        <v>2.3400000000000001E-2</v>
      </c>
      <c r="I66" s="100">
        <v>2.2499999999999999E-2</v>
      </c>
      <c r="J66" s="100">
        <v>2.2499999999999999E-2</v>
      </c>
      <c r="K66" s="100">
        <v>3.0700000000000002E-2</v>
      </c>
      <c r="L66" s="98">
        <f t="shared" ref="L66:L81" si="16">J66</f>
        <v>2.2499999999999999E-2</v>
      </c>
    </row>
    <row r="67" spans="1:12">
      <c r="A67" s="100">
        <v>55</v>
      </c>
      <c r="B67" s="101" t="s">
        <v>10</v>
      </c>
      <c r="C67" s="100" t="s">
        <v>4</v>
      </c>
      <c r="D67" s="100">
        <v>6</v>
      </c>
      <c r="E67" s="100">
        <v>2.5399999999999999E-2</v>
      </c>
      <c r="F67" s="100">
        <v>2.53E-2</v>
      </c>
      <c r="G67" s="100">
        <v>2.35E-2</v>
      </c>
      <c r="H67" s="100">
        <v>2.3400000000000001E-2</v>
      </c>
      <c r="I67" s="100">
        <v>2.2499999999999999E-2</v>
      </c>
      <c r="J67" s="100">
        <v>2.2499999999999999E-2</v>
      </c>
      <c r="K67" s="100">
        <v>3.0700000000000002E-2</v>
      </c>
      <c r="L67" s="98">
        <f t="shared" si="16"/>
        <v>2.2499999999999999E-2</v>
      </c>
    </row>
    <row r="68" spans="1:12">
      <c r="A68" s="100">
        <v>56</v>
      </c>
      <c r="B68" s="101" t="s">
        <v>8</v>
      </c>
      <c r="C68" s="100" t="s">
        <v>7</v>
      </c>
      <c r="D68" s="100">
        <v>6</v>
      </c>
      <c r="E68" s="100">
        <v>1.2699999999999999E-2</v>
      </c>
      <c r="F68" s="100">
        <v>1.265E-2</v>
      </c>
      <c r="G68" s="100">
        <v>1.175E-2</v>
      </c>
      <c r="H68" s="100">
        <v>1.17E-2</v>
      </c>
      <c r="I68" s="100">
        <v>1.1299999999999999E-2</v>
      </c>
      <c r="J68" s="100">
        <v>1.1299999999999999E-2</v>
      </c>
      <c r="K68" s="100">
        <v>1.54E-2</v>
      </c>
      <c r="L68" s="98">
        <f t="shared" si="16"/>
        <v>1.1299999999999999E-2</v>
      </c>
    </row>
    <row r="69" spans="1:12">
      <c r="A69" s="100">
        <v>57</v>
      </c>
      <c r="B69" s="101" t="s">
        <v>119</v>
      </c>
      <c r="C69" s="100" t="s">
        <v>7</v>
      </c>
      <c r="D69" s="100">
        <v>1</v>
      </c>
      <c r="E69" s="100">
        <v>1.2699999999999999E-2</v>
      </c>
      <c r="F69" s="100">
        <v>1.265E-2</v>
      </c>
      <c r="G69" s="100">
        <v>1.175E-2</v>
      </c>
      <c r="H69" s="100">
        <v>1.17E-2</v>
      </c>
      <c r="I69" s="100">
        <v>1.1299999999999999E-2</v>
      </c>
      <c r="J69" s="100">
        <v>1.1299999999999999E-2</v>
      </c>
      <c r="K69" s="100">
        <v>1.54E-2</v>
      </c>
      <c r="L69" s="98">
        <f t="shared" si="16"/>
        <v>1.1299999999999999E-2</v>
      </c>
    </row>
    <row r="70" spans="1:12">
      <c r="A70" s="100">
        <v>58</v>
      </c>
      <c r="B70" s="101" t="s">
        <v>6</v>
      </c>
      <c r="C70" s="100" t="s">
        <v>7</v>
      </c>
      <c r="D70" s="100">
        <v>1</v>
      </c>
      <c r="E70" s="100">
        <v>1.2699999999999999E-2</v>
      </c>
      <c r="F70" s="100">
        <v>1.265E-2</v>
      </c>
      <c r="G70" s="100">
        <v>1.175E-2</v>
      </c>
      <c r="H70" s="100">
        <v>1.17E-2</v>
      </c>
      <c r="I70" s="100">
        <v>1.1299999999999999E-2</v>
      </c>
      <c r="J70" s="100">
        <v>1.1299999999999999E-2</v>
      </c>
      <c r="K70" s="100">
        <v>1.54E-2</v>
      </c>
      <c r="L70" s="98">
        <f t="shared" si="16"/>
        <v>1.1299999999999999E-2</v>
      </c>
    </row>
    <row r="71" spans="1:12">
      <c r="A71" s="100">
        <v>59</v>
      </c>
      <c r="B71" s="101" t="s">
        <v>9</v>
      </c>
      <c r="C71" s="100" t="s">
        <v>4</v>
      </c>
      <c r="D71" s="100">
        <v>1</v>
      </c>
      <c r="E71" s="100">
        <v>2.5399999999999999E-2</v>
      </c>
      <c r="F71" s="100">
        <v>2.53E-2</v>
      </c>
      <c r="G71" s="100">
        <v>2.35E-2</v>
      </c>
      <c r="H71" s="100">
        <v>2.3400000000000001E-2</v>
      </c>
      <c r="I71" s="100">
        <v>2.2499999999999999E-2</v>
      </c>
      <c r="J71" s="100">
        <v>2.2499999999999999E-2</v>
      </c>
      <c r="K71" s="100">
        <v>3.0700000000000002E-2</v>
      </c>
      <c r="L71" s="98">
        <f t="shared" si="16"/>
        <v>2.2499999999999999E-2</v>
      </c>
    </row>
    <row r="72" spans="1:12">
      <c r="A72" s="100">
        <v>60</v>
      </c>
      <c r="B72" s="101" t="s">
        <v>13</v>
      </c>
      <c r="C72" s="100" t="s">
        <v>4</v>
      </c>
      <c r="D72" s="100">
        <v>12</v>
      </c>
      <c r="E72" s="100">
        <v>1.2699999999999999E-2</v>
      </c>
      <c r="F72" s="100">
        <v>1.265E-2</v>
      </c>
      <c r="G72" s="100">
        <v>1.175E-2</v>
      </c>
      <c r="H72" s="100">
        <v>1.17E-2</v>
      </c>
      <c r="I72" s="100">
        <v>1.1299999999999999E-2</v>
      </c>
      <c r="J72" s="100">
        <v>1.1299999999999999E-2</v>
      </c>
      <c r="K72" s="100">
        <v>1.54E-2</v>
      </c>
      <c r="L72" s="98">
        <f t="shared" si="16"/>
        <v>1.1299999999999999E-2</v>
      </c>
    </row>
    <row r="73" spans="1:12">
      <c r="A73" s="100">
        <v>54</v>
      </c>
      <c r="B73" s="101" t="s">
        <v>3</v>
      </c>
      <c r="C73" s="100" t="s">
        <v>4</v>
      </c>
      <c r="D73" s="100">
        <v>12</v>
      </c>
      <c r="E73" s="100">
        <v>1.2699999999999999E-2</v>
      </c>
      <c r="F73" s="100">
        <v>1.265E-2</v>
      </c>
      <c r="G73" s="100">
        <v>1.175E-2</v>
      </c>
      <c r="H73" s="100">
        <v>1.17E-2</v>
      </c>
      <c r="I73" s="100">
        <v>2.2499999999999999E-2</v>
      </c>
      <c r="J73" s="100">
        <v>2.2499999999999999E-2</v>
      </c>
      <c r="K73" s="100">
        <v>3.0700000000000002E-2</v>
      </c>
      <c r="L73" s="98">
        <f t="shared" si="16"/>
        <v>2.2499999999999999E-2</v>
      </c>
    </row>
    <row r="74" spans="1:12">
      <c r="A74" s="100">
        <v>55</v>
      </c>
      <c r="B74" s="101" t="s">
        <v>14</v>
      </c>
      <c r="C74" s="100" t="s">
        <v>7</v>
      </c>
      <c r="D74" s="100">
        <v>12</v>
      </c>
      <c r="E74" s="100">
        <v>1.2699999999999999E-2</v>
      </c>
      <c r="F74" s="100">
        <v>1.265E-2</v>
      </c>
      <c r="G74" s="100">
        <v>1.175E-2</v>
      </c>
      <c r="H74" s="100">
        <v>1.17E-2</v>
      </c>
      <c r="I74" s="100">
        <v>1.1299999999999999E-2</v>
      </c>
      <c r="J74" s="100">
        <v>1.1299999999999999E-2</v>
      </c>
      <c r="K74" s="100">
        <v>1.54E-2</v>
      </c>
      <c r="L74" s="98">
        <f t="shared" si="16"/>
        <v>1.1299999999999999E-2</v>
      </c>
    </row>
    <row r="75" spans="1:12">
      <c r="A75" s="100">
        <v>54</v>
      </c>
      <c r="B75" s="101" t="s">
        <v>5</v>
      </c>
      <c r="C75" s="100" t="s">
        <v>4</v>
      </c>
      <c r="D75" s="100">
        <v>12</v>
      </c>
      <c r="E75" s="100">
        <v>2.5399999999999999E-2</v>
      </c>
      <c r="F75" s="100">
        <v>2.53E-2</v>
      </c>
      <c r="G75" s="100">
        <v>2.35E-2</v>
      </c>
      <c r="H75" s="100">
        <v>2.3400000000000001E-2</v>
      </c>
      <c r="I75" s="100">
        <v>1.1299999999999999E-2</v>
      </c>
      <c r="J75" s="100">
        <v>1.1299999999999999E-2</v>
      </c>
      <c r="K75" s="100">
        <v>1.54E-2</v>
      </c>
      <c r="L75" s="98">
        <f t="shared" si="16"/>
        <v>1.1299999999999999E-2</v>
      </c>
    </row>
    <row r="76" spans="1:12">
      <c r="A76" s="100">
        <v>55</v>
      </c>
      <c r="B76" s="101" t="s">
        <v>15</v>
      </c>
      <c r="C76" s="100" t="s">
        <v>4</v>
      </c>
      <c r="D76" s="100">
        <v>6</v>
      </c>
      <c r="E76" s="100">
        <v>1.7780000000000001E-2</v>
      </c>
      <c r="F76" s="100">
        <v>1.771E-2</v>
      </c>
      <c r="G76" s="100">
        <v>1.6449999999999999E-2</v>
      </c>
      <c r="H76" s="100">
        <v>1.6379999999999999E-2</v>
      </c>
      <c r="I76" s="100">
        <v>1.75E-3</v>
      </c>
      <c r="J76" s="100">
        <v>1.575E-2</v>
      </c>
      <c r="K76" s="100">
        <v>2.1489999999999999E-2</v>
      </c>
      <c r="L76" s="98">
        <f t="shared" si="16"/>
        <v>1.575E-2</v>
      </c>
    </row>
    <row r="77" spans="1:12">
      <c r="A77" s="100">
        <v>56</v>
      </c>
      <c r="B77" s="101" t="s">
        <v>120</v>
      </c>
      <c r="C77" s="100" t="s">
        <v>4</v>
      </c>
      <c r="D77" s="100">
        <v>12</v>
      </c>
      <c r="E77" s="100">
        <v>1.7780000000000001E-2</v>
      </c>
      <c r="F77" s="100">
        <v>1.771E-2</v>
      </c>
      <c r="G77" s="100">
        <v>1.6449999999999999E-2</v>
      </c>
      <c r="H77" s="100">
        <v>1.6379999999999999E-2</v>
      </c>
      <c r="I77" s="100">
        <v>1.75E-3</v>
      </c>
      <c r="J77" s="100">
        <v>1.575E-2</v>
      </c>
      <c r="K77" s="100">
        <v>2.1489999999999999E-2</v>
      </c>
      <c r="L77" s="98">
        <f t="shared" si="16"/>
        <v>1.575E-2</v>
      </c>
    </row>
    <row r="78" spans="1:12">
      <c r="A78" s="100">
        <v>57</v>
      </c>
      <c r="B78" s="101" t="s">
        <v>121</v>
      </c>
      <c r="C78" s="100" t="s">
        <v>4</v>
      </c>
      <c r="D78" s="100">
        <v>12</v>
      </c>
      <c r="E78" s="100">
        <v>2.5399999999999999E-2</v>
      </c>
      <c r="F78" s="100">
        <v>2.53E-2</v>
      </c>
      <c r="G78" s="100">
        <v>2.35E-2</v>
      </c>
      <c r="H78" s="100">
        <v>2.3400000000000001E-2</v>
      </c>
      <c r="I78" s="100">
        <v>2.5000000000000001E-3</v>
      </c>
      <c r="J78" s="100">
        <v>2.2499999999999999E-2</v>
      </c>
      <c r="K78" s="100">
        <v>3.0700000000000002E-2</v>
      </c>
      <c r="L78" s="98">
        <f t="shared" si="16"/>
        <v>2.2499999999999999E-2</v>
      </c>
    </row>
    <row r="79" spans="1:12">
      <c r="A79" s="100">
        <v>58</v>
      </c>
      <c r="B79" s="101" t="s">
        <v>122</v>
      </c>
      <c r="C79" s="100" t="s">
        <v>4</v>
      </c>
      <c r="D79" s="100">
        <v>12</v>
      </c>
      <c r="E79" s="100">
        <v>2.5399999999999999E-2</v>
      </c>
      <c r="F79" s="100">
        <v>2.53E-2</v>
      </c>
      <c r="G79" s="100">
        <v>2.35E-2</v>
      </c>
      <c r="H79" s="100">
        <v>2.3400000000000001E-2</v>
      </c>
      <c r="I79" s="100">
        <v>2.5000000000000001E-3</v>
      </c>
      <c r="J79" s="100">
        <v>2.2499999999999999E-2</v>
      </c>
      <c r="K79" s="100">
        <v>3.0700000000000002E-2</v>
      </c>
      <c r="L79" s="98">
        <f t="shared" si="16"/>
        <v>2.2499999999999999E-2</v>
      </c>
    </row>
    <row r="80" spans="1:12">
      <c r="A80" s="100">
        <v>59</v>
      </c>
      <c r="B80" s="101" t="s">
        <v>123</v>
      </c>
      <c r="C80" s="100" t="s">
        <v>4</v>
      </c>
      <c r="D80" s="100">
        <v>12</v>
      </c>
      <c r="E80" s="100">
        <v>2.5399999999999999E-2</v>
      </c>
      <c r="F80" s="100">
        <v>2.53E-2</v>
      </c>
      <c r="G80" s="100">
        <v>2.35E-2</v>
      </c>
      <c r="H80" s="100">
        <v>2.3400000000000001E-2</v>
      </c>
      <c r="I80" s="100">
        <v>2.5000000000000001E-3</v>
      </c>
      <c r="J80" s="100">
        <v>2.2499999999999999E-2</v>
      </c>
      <c r="K80" s="100">
        <v>3.0700000000000002E-2</v>
      </c>
      <c r="L80" s="98">
        <f t="shared" si="16"/>
        <v>2.2499999999999999E-2</v>
      </c>
    </row>
    <row r="81" spans="1:12">
      <c r="A81" s="100">
        <v>60</v>
      </c>
      <c r="B81" s="101" t="s">
        <v>124</v>
      </c>
      <c r="C81" s="100" t="s">
        <v>4</v>
      </c>
      <c r="D81" s="100">
        <v>12</v>
      </c>
      <c r="E81" s="100">
        <v>1.2699999999999999E-2</v>
      </c>
      <c r="F81" s="100">
        <v>1.265E-2</v>
      </c>
      <c r="G81" s="100">
        <v>1.175E-2</v>
      </c>
      <c r="H81" s="100">
        <v>1.17E-2</v>
      </c>
      <c r="I81" s="100">
        <v>2.5000000000000001E-3</v>
      </c>
      <c r="J81" s="100">
        <v>2.2499999999999999E-2</v>
      </c>
      <c r="K81" s="100">
        <v>3.0700000000000002E-2</v>
      </c>
      <c r="L81" s="98">
        <f t="shared" si="16"/>
        <v>2.2499999999999999E-2</v>
      </c>
    </row>
    <row r="82" spans="1:12" ht="15">
      <c r="A82" s="107" t="s">
        <v>48</v>
      </c>
      <c r="B82" s="108" t="s">
        <v>130</v>
      </c>
      <c r="C82" s="101"/>
      <c r="D82" s="101"/>
      <c r="E82" s="101"/>
      <c r="F82" s="101"/>
      <c r="G82" s="101"/>
      <c r="H82" s="101"/>
      <c r="I82" s="101"/>
      <c r="J82" s="101"/>
      <c r="K82" s="101"/>
      <c r="L82" s="106"/>
    </row>
    <row r="83" spans="1:12">
      <c r="A83" s="100">
        <v>61</v>
      </c>
      <c r="B83" s="101" t="s">
        <v>11</v>
      </c>
      <c r="C83" s="100" t="s">
        <v>12</v>
      </c>
      <c r="D83" s="100">
        <v>6</v>
      </c>
      <c r="E83" s="100">
        <v>2.8E-3</v>
      </c>
      <c r="F83" s="100">
        <v>2.7000000000000001E-3</v>
      </c>
      <c r="G83" s="100">
        <v>2.5999999999999999E-3</v>
      </c>
      <c r="H83" s="100">
        <v>2.5000000000000001E-3</v>
      </c>
      <c r="I83" s="100">
        <v>2.2000000000000001E-3</v>
      </c>
      <c r="J83" s="100">
        <v>2.0999999999999999E-3</v>
      </c>
      <c r="K83" s="100">
        <v>2.5000000000000001E-3</v>
      </c>
      <c r="L83" s="98">
        <f t="shared" ref="L83:L91" si="17">J83</f>
        <v>2.0999999999999999E-3</v>
      </c>
    </row>
    <row r="84" spans="1:12">
      <c r="A84" s="100">
        <v>62</v>
      </c>
      <c r="B84" s="101" t="s">
        <v>10</v>
      </c>
      <c r="C84" s="100" t="s">
        <v>4</v>
      </c>
      <c r="D84" s="100">
        <v>6</v>
      </c>
      <c r="E84" s="100">
        <v>2.8E-3</v>
      </c>
      <c r="F84" s="100">
        <v>2.7000000000000001E-3</v>
      </c>
      <c r="G84" s="100">
        <v>2.5999999999999999E-3</v>
      </c>
      <c r="H84" s="100">
        <v>2.5000000000000001E-3</v>
      </c>
      <c r="I84" s="100">
        <v>2.2000000000000001E-3</v>
      </c>
      <c r="J84" s="100">
        <v>2.0999999999999999E-3</v>
      </c>
      <c r="K84" s="100">
        <v>2.5000000000000001E-3</v>
      </c>
      <c r="L84" s="98">
        <f t="shared" si="17"/>
        <v>2.0999999999999999E-3</v>
      </c>
    </row>
    <row r="85" spans="1:12">
      <c r="A85" s="100">
        <v>63</v>
      </c>
      <c r="B85" s="101" t="s">
        <v>8</v>
      </c>
      <c r="C85" s="100" t="s">
        <v>7</v>
      </c>
      <c r="D85" s="100">
        <v>6</v>
      </c>
      <c r="E85" s="100">
        <v>1.4E-3</v>
      </c>
      <c r="F85" s="100">
        <v>1.3500000000000001E-3</v>
      </c>
      <c r="G85" s="100">
        <v>1.2999999999999999E-3</v>
      </c>
      <c r="H85" s="100">
        <v>1.25E-3</v>
      </c>
      <c r="I85" s="100">
        <v>1.1000000000000001E-3</v>
      </c>
      <c r="J85" s="100">
        <v>1.1000000000000001E-3</v>
      </c>
      <c r="K85" s="100">
        <v>1.2999999999999999E-3</v>
      </c>
      <c r="L85" s="98">
        <f t="shared" si="17"/>
        <v>1.1000000000000001E-3</v>
      </c>
    </row>
    <row r="86" spans="1:12">
      <c r="A86" s="100">
        <v>64</v>
      </c>
      <c r="B86" s="101" t="s">
        <v>119</v>
      </c>
      <c r="C86" s="100" t="s">
        <v>7</v>
      </c>
      <c r="D86" s="100">
        <v>1</v>
      </c>
      <c r="E86" s="100">
        <v>1.4E-3</v>
      </c>
      <c r="F86" s="100">
        <v>1.3500000000000001E-3</v>
      </c>
      <c r="G86" s="100">
        <v>1.2999999999999999E-3</v>
      </c>
      <c r="H86" s="100">
        <v>1.25E-3</v>
      </c>
      <c r="I86" s="100">
        <v>1.1000000000000001E-3</v>
      </c>
      <c r="J86" s="100">
        <v>1.1000000000000001E-3</v>
      </c>
      <c r="K86" s="100">
        <v>1.2999999999999999E-3</v>
      </c>
      <c r="L86" s="98">
        <f t="shared" si="17"/>
        <v>1.1000000000000001E-3</v>
      </c>
    </row>
    <row r="87" spans="1:12">
      <c r="A87" s="100">
        <v>65</v>
      </c>
      <c r="B87" s="101" t="s">
        <v>6</v>
      </c>
      <c r="C87" s="100" t="s">
        <v>7</v>
      </c>
      <c r="D87" s="100">
        <v>1</v>
      </c>
      <c r="E87" s="100">
        <v>1.4E-3</v>
      </c>
      <c r="F87" s="100">
        <v>1.3500000000000001E-3</v>
      </c>
      <c r="G87" s="100">
        <v>1.2999999999999999E-3</v>
      </c>
      <c r="H87" s="100">
        <v>1.25E-3</v>
      </c>
      <c r="I87" s="100">
        <v>1.1000000000000001E-3</v>
      </c>
      <c r="J87" s="100">
        <v>1.1000000000000001E-3</v>
      </c>
      <c r="K87" s="100">
        <v>1.2999999999999999E-3</v>
      </c>
      <c r="L87" s="98">
        <f t="shared" si="17"/>
        <v>1.1000000000000001E-3</v>
      </c>
    </row>
    <row r="88" spans="1:12">
      <c r="A88" s="100">
        <v>66</v>
      </c>
      <c r="B88" s="101" t="s">
        <v>9</v>
      </c>
      <c r="C88" s="100" t="s">
        <v>4</v>
      </c>
      <c r="D88" s="100">
        <v>1</v>
      </c>
      <c r="E88" s="100">
        <v>2.8E-3</v>
      </c>
      <c r="F88" s="100">
        <v>2.7000000000000001E-3</v>
      </c>
      <c r="G88" s="100">
        <v>2.5999999999999999E-3</v>
      </c>
      <c r="H88" s="100">
        <v>2.5000000000000001E-3</v>
      </c>
      <c r="I88" s="100">
        <v>2.2000000000000001E-3</v>
      </c>
      <c r="J88" s="100">
        <v>2.0999999999999999E-3</v>
      </c>
      <c r="K88" s="100">
        <v>2.5000000000000001E-3</v>
      </c>
      <c r="L88" s="98">
        <f t="shared" si="17"/>
        <v>2.0999999999999999E-3</v>
      </c>
    </row>
    <row r="89" spans="1:12">
      <c r="A89" s="100">
        <v>67</v>
      </c>
      <c r="B89" s="101" t="s">
        <v>13</v>
      </c>
      <c r="C89" s="100" t="s">
        <v>4</v>
      </c>
      <c r="D89" s="100">
        <v>12</v>
      </c>
      <c r="E89" s="100">
        <v>1.4E-3</v>
      </c>
      <c r="F89" s="100">
        <v>1.3500000000000001E-3</v>
      </c>
      <c r="G89" s="100">
        <v>1.2999999999999999E-3</v>
      </c>
      <c r="H89" s="100">
        <v>1.25E-3</v>
      </c>
      <c r="I89" s="100">
        <v>1.1000000000000001E-3</v>
      </c>
      <c r="J89" s="100">
        <v>1.1000000000000001E-3</v>
      </c>
      <c r="K89" s="100">
        <v>1.2999999999999999E-3</v>
      </c>
      <c r="L89" s="98">
        <f t="shared" si="17"/>
        <v>1.1000000000000001E-3</v>
      </c>
    </row>
    <row r="90" spans="1:12">
      <c r="A90" s="100">
        <v>68</v>
      </c>
      <c r="B90" s="101" t="s">
        <v>3</v>
      </c>
      <c r="C90" s="100" t="s">
        <v>4</v>
      </c>
      <c r="D90" s="100">
        <v>12</v>
      </c>
      <c r="E90" s="100">
        <v>1.4E-3</v>
      </c>
      <c r="F90" s="100">
        <v>1.3500000000000001E-3</v>
      </c>
      <c r="G90" s="100">
        <v>1.2999999999999999E-3</v>
      </c>
      <c r="H90" s="100">
        <v>1.25E-3</v>
      </c>
      <c r="I90" s="100">
        <v>2.2000000000000001E-3</v>
      </c>
      <c r="J90" s="100">
        <v>2.0999999999999999E-3</v>
      </c>
      <c r="K90" s="100">
        <v>2.5000000000000001E-3</v>
      </c>
      <c r="L90" s="98">
        <f t="shared" si="17"/>
        <v>2.0999999999999999E-3</v>
      </c>
    </row>
    <row r="91" spans="1:12">
      <c r="A91" s="100">
        <v>69</v>
      </c>
      <c r="B91" s="101" t="s">
        <v>14</v>
      </c>
      <c r="C91" s="100" t="s">
        <v>7</v>
      </c>
      <c r="D91" s="100">
        <v>12</v>
      </c>
      <c r="E91" s="100">
        <v>1.4E-3</v>
      </c>
      <c r="F91" s="100">
        <v>1.3500000000000001E-3</v>
      </c>
      <c r="G91" s="100">
        <v>1.2999999999999999E-3</v>
      </c>
      <c r="H91" s="100">
        <v>1.25E-3</v>
      </c>
      <c r="I91" s="100">
        <v>1.1000000000000001E-3</v>
      </c>
      <c r="J91" s="100">
        <v>1.1000000000000001E-3</v>
      </c>
      <c r="K91" s="100">
        <v>1.2999999999999999E-3</v>
      </c>
      <c r="L91" s="98">
        <f t="shared" si="17"/>
        <v>1.1000000000000001E-3</v>
      </c>
    </row>
    <row r="92" spans="1:12" ht="27">
      <c r="A92" s="107" t="s">
        <v>131</v>
      </c>
      <c r="B92" s="108" t="s">
        <v>132</v>
      </c>
      <c r="C92" s="101"/>
      <c r="D92" s="101"/>
      <c r="E92" s="101"/>
      <c r="F92" s="101"/>
      <c r="G92" s="101"/>
      <c r="H92" s="101"/>
      <c r="I92" s="101"/>
      <c r="J92" s="101"/>
      <c r="K92" s="101"/>
      <c r="L92" s="106"/>
    </row>
    <row r="93" spans="1:12">
      <c r="A93" s="100">
        <v>70</v>
      </c>
      <c r="B93" s="101" t="s">
        <v>11</v>
      </c>
      <c r="C93" s="100" t="s">
        <v>12</v>
      </c>
      <c r="D93" s="100">
        <v>6</v>
      </c>
      <c r="E93" s="100">
        <v>1.6000000000000001E-3</v>
      </c>
      <c r="F93" s="100">
        <v>1.5E-3</v>
      </c>
      <c r="G93" s="100">
        <v>1.4E-3</v>
      </c>
      <c r="H93" s="100">
        <v>1.4E-3</v>
      </c>
      <c r="I93" s="100">
        <v>1.2999999999999999E-3</v>
      </c>
      <c r="J93" s="100">
        <v>1.2999999999999999E-3</v>
      </c>
      <c r="K93" s="100">
        <v>1.2999999999999999E-3</v>
      </c>
      <c r="L93" s="98">
        <f t="shared" ref="L93:L101" si="18">J93</f>
        <v>1.2999999999999999E-3</v>
      </c>
    </row>
    <row r="94" spans="1:12">
      <c r="A94" s="100">
        <v>71</v>
      </c>
      <c r="B94" s="101" t="s">
        <v>10</v>
      </c>
      <c r="C94" s="100" t="s">
        <v>4</v>
      </c>
      <c r="D94" s="100">
        <v>6</v>
      </c>
      <c r="E94" s="100">
        <v>1.6000000000000001E-3</v>
      </c>
      <c r="F94" s="100">
        <v>1.5E-3</v>
      </c>
      <c r="G94" s="100">
        <v>1.4E-3</v>
      </c>
      <c r="H94" s="100">
        <v>1.4E-3</v>
      </c>
      <c r="I94" s="100">
        <v>1.2999999999999999E-3</v>
      </c>
      <c r="J94" s="100">
        <v>1.2999999999999999E-3</v>
      </c>
      <c r="K94" s="100">
        <v>1.2999999999999999E-3</v>
      </c>
      <c r="L94" s="98">
        <f t="shared" si="18"/>
        <v>1.2999999999999999E-3</v>
      </c>
    </row>
    <row r="95" spans="1:12">
      <c r="A95" s="100">
        <v>72</v>
      </c>
      <c r="B95" s="101" t="s">
        <v>8</v>
      </c>
      <c r="C95" s="100" t="s">
        <v>7</v>
      </c>
      <c r="D95" s="100">
        <v>6</v>
      </c>
      <c r="E95" s="100">
        <v>8.0000000000000004E-4</v>
      </c>
      <c r="F95" s="100">
        <v>7.5000000000000002E-4</v>
      </c>
      <c r="G95" s="100">
        <v>6.9999999999999999E-4</v>
      </c>
      <c r="H95" s="100">
        <v>6.9999999999999999E-4</v>
      </c>
      <c r="I95" s="100">
        <v>6.9999999999999999E-4</v>
      </c>
      <c r="J95" s="100">
        <v>6.9999999999999999E-4</v>
      </c>
      <c r="K95" s="100">
        <v>6.9999999999999999E-4</v>
      </c>
      <c r="L95" s="98">
        <f t="shared" si="18"/>
        <v>6.9999999999999999E-4</v>
      </c>
    </row>
    <row r="96" spans="1:12">
      <c r="A96" s="100">
        <v>73</v>
      </c>
      <c r="B96" s="101" t="s">
        <v>119</v>
      </c>
      <c r="C96" s="100" t="s">
        <v>7</v>
      </c>
      <c r="D96" s="100">
        <v>1</v>
      </c>
      <c r="E96" s="100">
        <v>8.0000000000000004E-4</v>
      </c>
      <c r="F96" s="100">
        <v>7.5000000000000002E-4</v>
      </c>
      <c r="G96" s="100">
        <v>6.9999999999999999E-4</v>
      </c>
      <c r="H96" s="100">
        <v>6.9999999999999999E-4</v>
      </c>
      <c r="I96" s="100">
        <v>6.9999999999999999E-4</v>
      </c>
      <c r="J96" s="100">
        <v>6.9999999999999999E-4</v>
      </c>
      <c r="K96" s="100">
        <v>6.9999999999999999E-4</v>
      </c>
      <c r="L96" s="98">
        <f t="shared" si="18"/>
        <v>6.9999999999999999E-4</v>
      </c>
    </row>
    <row r="97" spans="1:16">
      <c r="A97" s="100">
        <v>74</v>
      </c>
      <c r="B97" s="101" t="s">
        <v>6</v>
      </c>
      <c r="C97" s="100" t="s">
        <v>7</v>
      </c>
      <c r="D97" s="100">
        <v>1</v>
      </c>
      <c r="E97" s="100">
        <v>8.0000000000000004E-4</v>
      </c>
      <c r="F97" s="100">
        <v>7.5000000000000002E-4</v>
      </c>
      <c r="G97" s="100">
        <v>6.9999999999999999E-4</v>
      </c>
      <c r="H97" s="100">
        <v>6.9999999999999999E-4</v>
      </c>
      <c r="I97" s="100">
        <v>6.9999999999999999E-4</v>
      </c>
      <c r="J97" s="100">
        <v>6.9999999999999999E-4</v>
      </c>
      <c r="K97" s="100">
        <v>6.9999999999999999E-4</v>
      </c>
      <c r="L97" s="98">
        <f t="shared" si="18"/>
        <v>6.9999999999999999E-4</v>
      </c>
    </row>
    <row r="98" spans="1:16">
      <c r="A98" s="100">
        <v>75</v>
      </c>
      <c r="B98" s="101" t="s">
        <v>9</v>
      </c>
      <c r="C98" s="100" t="s">
        <v>4</v>
      </c>
      <c r="D98" s="100">
        <v>1</v>
      </c>
      <c r="E98" s="100">
        <v>1.6000000000000001E-3</v>
      </c>
      <c r="F98" s="100">
        <v>1.5E-3</v>
      </c>
      <c r="G98" s="100">
        <v>1.4E-3</v>
      </c>
      <c r="H98" s="100">
        <v>1.4E-3</v>
      </c>
      <c r="I98" s="100">
        <v>1.2999999999999999E-3</v>
      </c>
      <c r="J98" s="100">
        <v>1.2999999999999999E-3</v>
      </c>
      <c r="K98" s="100">
        <v>1.2999999999999999E-3</v>
      </c>
      <c r="L98" s="98">
        <f t="shared" si="18"/>
        <v>1.2999999999999999E-3</v>
      </c>
    </row>
    <row r="99" spans="1:16">
      <c r="A99" s="100">
        <v>76</v>
      </c>
      <c r="B99" s="101" t="s">
        <v>13</v>
      </c>
      <c r="C99" s="100" t="s">
        <v>4</v>
      </c>
      <c r="D99" s="100">
        <v>12</v>
      </c>
      <c r="E99" s="100">
        <v>8.0000000000000004E-4</v>
      </c>
      <c r="F99" s="100">
        <v>7.5000000000000002E-4</v>
      </c>
      <c r="G99" s="100">
        <v>6.9999999999999999E-4</v>
      </c>
      <c r="H99" s="100">
        <v>6.9999999999999999E-4</v>
      </c>
      <c r="I99" s="100">
        <v>6.9999999999999999E-4</v>
      </c>
      <c r="J99" s="100">
        <v>6.9999999999999999E-4</v>
      </c>
      <c r="K99" s="100">
        <v>6.9999999999999999E-4</v>
      </c>
      <c r="L99" s="98">
        <f t="shared" si="18"/>
        <v>6.9999999999999999E-4</v>
      </c>
    </row>
    <row r="100" spans="1:16">
      <c r="A100" s="100">
        <v>77</v>
      </c>
      <c r="B100" s="101" t="s">
        <v>3</v>
      </c>
      <c r="C100" s="100" t="s">
        <v>4</v>
      </c>
      <c r="D100" s="100">
        <v>12</v>
      </c>
      <c r="E100" s="100">
        <v>8.0000000000000004E-4</v>
      </c>
      <c r="F100" s="100">
        <v>7.5000000000000002E-4</v>
      </c>
      <c r="G100" s="100">
        <v>6.9999999999999999E-4</v>
      </c>
      <c r="H100" s="100">
        <v>6.9999999999999999E-4</v>
      </c>
      <c r="I100" s="100">
        <v>1.2999999999999999E-3</v>
      </c>
      <c r="J100" s="100">
        <v>1.2999999999999999E-3</v>
      </c>
      <c r="K100" s="100">
        <v>1.2999999999999999E-3</v>
      </c>
      <c r="L100" s="98">
        <f t="shared" si="18"/>
        <v>1.2999999999999999E-3</v>
      </c>
    </row>
    <row r="101" spans="1:16">
      <c r="A101" s="100">
        <v>78</v>
      </c>
      <c r="B101" s="101" t="s">
        <v>14</v>
      </c>
      <c r="C101" s="100" t="s">
        <v>7</v>
      </c>
      <c r="D101" s="100">
        <v>12</v>
      </c>
      <c r="E101" s="100">
        <v>8.0000000000000004E-4</v>
      </c>
      <c r="F101" s="100">
        <v>7.5000000000000002E-4</v>
      </c>
      <c r="G101" s="100">
        <v>6.9999999999999999E-4</v>
      </c>
      <c r="H101" s="100">
        <v>6.9999999999999999E-4</v>
      </c>
      <c r="I101" s="100">
        <v>6.9999999999999999E-4</v>
      </c>
      <c r="J101" s="100">
        <v>6.9999999999999999E-4</v>
      </c>
      <c r="K101" s="100">
        <v>6.9999999999999999E-4</v>
      </c>
      <c r="L101" s="98">
        <f t="shared" si="18"/>
        <v>6.9999999999999999E-4</v>
      </c>
    </row>
    <row r="102" spans="1:16" ht="27">
      <c r="A102" s="107" t="s">
        <v>49</v>
      </c>
      <c r="B102" s="108" t="s">
        <v>133</v>
      </c>
      <c r="C102" s="101"/>
      <c r="D102" s="101"/>
      <c r="E102" s="101"/>
      <c r="F102" s="101"/>
      <c r="G102" s="101"/>
      <c r="H102" s="101"/>
      <c r="I102" s="101"/>
      <c r="J102" s="101"/>
      <c r="K102" s="101"/>
      <c r="L102" s="106">
        <v>1755</v>
      </c>
      <c r="O102">
        <v>1000</v>
      </c>
      <c r="P102">
        <v>1500</v>
      </c>
    </row>
    <row r="103" spans="1:16" ht="15" thickBot="1">
      <c r="A103" s="100">
        <v>79</v>
      </c>
      <c r="B103" s="101" t="s">
        <v>11</v>
      </c>
      <c r="C103" s="100" t="s">
        <v>12</v>
      </c>
      <c r="D103" s="100">
        <v>6</v>
      </c>
      <c r="E103" s="100">
        <v>2.7000000000000001E-3</v>
      </c>
      <c r="F103" s="100">
        <v>2.5999999999999999E-3</v>
      </c>
      <c r="G103" s="100">
        <v>2.5999999999999999E-3</v>
      </c>
      <c r="H103" s="100">
        <v>2.5000000000000001E-3</v>
      </c>
      <c r="I103" s="100"/>
      <c r="J103" s="100">
        <v>2.3999999999999998E-3</v>
      </c>
      <c r="K103" s="100">
        <v>5.0000000000000001E-4</v>
      </c>
      <c r="L103" s="98">
        <f t="shared" ref="L103:L111" si="19">J103</f>
        <v>2.3999999999999998E-3</v>
      </c>
      <c r="N103" s="26">
        <v>4.0000000000000002E-4</v>
      </c>
      <c r="O103" s="26">
        <v>2.5000000000000001E-3</v>
      </c>
      <c r="P103" s="26">
        <v>2.3999999999999998E-3</v>
      </c>
    </row>
    <row r="104" spans="1:16" ht="15" thickBot="1">
      <c r="A104" s="100">
        <v>80</v>
      </c>
      <c r="B104" s="101" t="s">
        <v>10</v>
      </c>
      <c r="C104" s="100" t="s">
        <v>4</v>
      </c>
      <c r="D104" s="100">
        <v>6</v>
      </c>
      <c r="E104" s="100">
        <v>2.7000000000000001E-3</v>
      </c>
      <c r="F104" s="100">
        <v>2.5999999999999999E-3</v>
      </c>
      <c r="G104" s="100">
        <v>2.5999999999999999E-3</v>
      </c>
      <c r="H104" s="100">
        <v>2.5000000000000001E-3</v>
      </c>
      <c r="I104" s="100"/>
      <c r="J104" s="100">
        <v>2.3999999999999998E-3</v>
      </c>
      <c r="K104" s="100">
        <v>5.0000000000000001E-4</v>
      </c>
      <c r="L104" s="98">
        <f t="shared" si="19"/>
        <v>2.3999999999999998E-3</v>
      </c>
      <c r="N104" s="26">
        <v>4.0000000000000002E-4</v>
      </c>
      <c r="O104" s="26">
        <v>2.5000000000000001E-3</v>
      </c>
      <c r="P104" s="26">
        <v>2.3999999999999998E-3</v>
      </c>
    </row>
    <row r="105" spans="1:16" ht="15" thickBot="1">
      <c r="A105" s="100">
        <v>81</v>
      </c>
      <c r="B105" s="101" t="s">
        <v>8</v>
      </c>
      <c r="C105" s="100" t="s">
        <v>7</v>
      </c>
      <c r="D105" s="100">
        <v>6</v>
      </c>
      <c r="E105" s="100">
        <v>1.3500000000000001E-3</v>
      </c>
      <c r="F105" s="100">
        <v>1.2999999999999999E-3</v>
      </c>
      <c r="G105" s="100">
        <v>1.2999999999999999E-3</v>
      </c>
      <c r="H105" s="100">
        <v>1.25E-3</v>
      </c>
      <c r="I105" s="100"/>
      <c r="J105" s="100">
        <v>1.1999999999999999E-3</v>
      </c>
      <c r="K105" s="100">
        <v>2.9999999999999997E-4</v>
      </c>
      <c r="L105" s="98">
        <f t="shared" si="19"/>
        <v>1.1999999999999999E-3</v>
      </c>
      <c r="N105" s="26">
        <v>2.0000000000000001E-4</v>
      </c>
      <c r="O105" s="26">
        <v>1.25E-3</v>
      </c>
      <c r="P105" s="26">
        <v>1.1999999999999999E-3</v>
      </c>
    </row>
    <row r="106" spans="1:16" ht="15" thickBot="1">
      <c r="A106" s="100">
        <v>82</v>
      </c>
      <c r="B106" s="101" t="s">
        <v>119</v>
      </c>
      <c r="C106" s="100" t="s">
        <v>7</v>
      </c>
      <c r="D106" s="100">
        <v>1</v>
      </c>
      <c r="E106" s="100">
        <v>1.3500000000000001E-3</v>
      </c>
      <c r="F106" s="100">
        <v>1.2999999999999999E-3</v>
      </c>
      <c r="G106" s="100">
        <v>1.2999999999999999E-3</v>
      </c>
      <c r="H106" s="100">
        <v>1.25E-3</v>
      </c>
      <c r="I106" s="100"/>
      <c r="J106" s="100">
        <v>1.1999999999999999E-3</v>
      </c>
      <c r="K106" s="100">
        <v>2.9999999999999997E-4</v>
      </c>
      <c r="L106" s="98">
        <f t="shared" si="19"/>
        <v>1.1999999999999999E-3</v>
      </c>
      <c r="N106" s="26">
        <v>2.0000000000000001E-4</v>
      </c>
      <c r="O106" s="26">
        <v>1.25E-3</v>
      </c>
      <c r="P106" s="26">
        <v>1.1999999999999999E-3</v>
      </c>
    </row>
    <row r="107" spans="1:16" ht="15" thickBot="1">
      <c r="A107" s="100">
        <v>83</v>
      </c>
      <c r="B107" s="101" t="s">
        <v>6</v>
      </c>
      <c r="C107" s="100" t="s">
        <v>7</v>
      </c>
      <c r="D107" s="100">
        <v>1</v>
      </c>
      <c r="E107" s="100">
        <v>1.3500000000000001E-3</v>
      </c>
      <c r="F107" s="100">
        <v>1.2999999999999999E-3</v>
      </c>
      <c r="G107" s="100">
        <v>1.2999999999999999E-3</v>
      </c>
      <c r="H107" s="100">
        <v>1.25E-3</v>
      </c>
      <c r="I107" s="100"/>
      <c r="J107" s="100">
        <v>1.1999999999999999E-3</v>
      </c>
      <c r="K107" s="100">
        <v>2.9999999999999997E-4</v>
      </c>
      <c r="L107" s="98">
        <f t="shared" si="19"/>
        <v>1.1999999999999999E-3</v>
      </c>
      <c r="N107" s="26">
        <v>2.0000000000000001E-4</v>
      </c>
      <c r="O107" s="26">
        <v>1.25E-3</v>
      </c>
      <c r="P107" s="26">
        <v>1.1999999999999999E-3</v>
      </c>
    </row>
    <row r="108" spans="1:16" ht="15" thickBot="1">
      <c r="A108" s="100">
        <v>84</v>
      </c>
      <c r="B108" s="101" t="s">
        <v>9</v>
      </c>
      <c r="C108" s="100" t="s">
        <v>4</v>
      </c>
      <c r="D108" s="100">
        <v>1</v>
      </c>
      <c r="E108" s="100">
        <v>2.7000000000000001E-3</v>
      </c>
      <c r="F108" s="100">
        <v>2.5999999999999999E-3</v>
      </c>
      <c r="G108" s="100">
        <v>2.5999999999999999E-3</v>
      </c>
      <c r="H108" s="100">
        <v>2.5000000000000001E-3</v>
      </c>
      <c r="I108" s="100"/>
      <c r="J108" s="100">
        <v>2.3999999999999998E-3</v>
      </c>
      <c r="K108" s="100">
        <v>5.0000000000000001E-4</v>
      </c>
      <c r="L108" s="98">
        <f t="shared" si="19"/>
        <v>2.3999999999999998E-3</v>
      </c>
      <c r="N108" s="26">
        <v>4.0000000000000002E-4</v>
      </c>
      <c r="O108" s="26">
        <v>2.5000000000000001E-3</v>
      </c>
      <c r="P108" s="26">
        <v>2.3999999999999998E-3</v>
      </c>
    </row>
    <row r="109" spans="1:16" ht="15" thickBot="1">
      <c r="A109" s="100">
        <v>85</v>
      </c>
      <c r="B109" s="101" t="s">
        <v>13</v>
      </c>
      <c r="C109" s="100" t="s">
        <v>4</v>
      </c>
      <c r="D109" s="100">
        <v>12</v>
      </c>
      <c r="E109" s="100">
        <v>1.3500000000000001E-3</v>
      </c>
      <c r="F109" s="100">
        <v>1.2999999999999999E-3</v>
      </c>
      <c r="G109" s="100">
        <v>1.2999999999999999E-3</v>
      </c>
      <c r="H109" s="100">
        <v>1.25E-3</v>
      </c>
      <c r="I109" s="100"/>
      <c r="J109" s="100">
        <v>1.1999999999999999E-3</v>
      </c>
      <c r="K109" s="100">
        <v>2.9999999999999997E-4</v>
      </c>
      <c r="L109" s="98">
        <f t="shared" si="19"/>
        <v>1.1999999999999999E-3</v>
      </c>
      <c r="N109" s="26">
        <v>2.0000000000000001E-4</v>
      </c>
      <c r="O109" s="26">
        <v>1.25E-3</v>
      </c>
      <c r="P109" s="26">
        <v>1.1999999999999999E-3</v>
      </c>
    </row>
    <row r="110" spans="1:16" ht="15" thickBot="1">
      <c r="A110" s="100">
        <v>86</v>
      </c>
      <c r="B110" s="101" t="s">
        <v>3</v>
      </c>
      <c r="C110" s="100" t="s">
        <v>4</v>
      </c>
      <c r="D110" s="100">
        <v>12</v>
      </c>
      <c r="E110" s="100">
        <v>1.3500000000000001E-3</v>
      </c>
      <c r="F110" s="100">
        <v>1.2999999999999999E-3</v>
      </c>
      <c r="G110" s="100">
        <v>1.2999999999999999E-3</v>
      </c>
      <c r="H110" s="100">
        <v>1.25E-3</v>
      </c>
      <c r="I110" s="100"/>
      <c r="J110" s="100">
        <v>2.3999999999999998E-3</v>
      </c>
      <c r="K110" s="100">
        <v>5.0000000000000001E-4</v>
      </c>
      <c r="L110" s="98">
        <f t="shared" si="19"/>
        <v>2.3999999999999998E-3</v>
      </c>
      <c r="N110" s="26">
        <v>4.0000000000000002E-4</v>
      </c>
      <c r="O110" s="26">
        <v>1.25E-3</v>
      </c>
      <c r="P110" s="26">
        <v>2.3999999999999998E-3</v>
      </c>
    </row>
    <row r="111" spans="1:16" ht="15" thickBot="1">
      <c r="A111" s="100">
        <v>87</v>
      </c>
      <c r="B111" s="101" t="s">
        <v>14</v>
      </c>
      <c r="C111" s="100" t="s">
        <v>7</v>
      </c>
      <c r="D111" s="100">
        <v>12</v>
      </c>
      <c r="E111" s="100">
        <v>1.3500000000000001E-3</v>
      </c>
      <c r="F111" s="100">
        <v>1.2999999999999999E-3</v>
      </c>
      <c r="G111" s="100">
        <v>1.2999999999999999E-3</v>
      </c>
      <c r="H111" s="100">
        <v>1.25E-3</v>
      </c>
      <c r="I111" s="100"/>
      <c r="J111" s="100">
        <v>1.1999999999999999E-3</v>
      </c>
      <c r="K111" s="100">
        <v>2.9999999999999997E-4</v>
      </c>
      <c r="L111" s="98">
        <f t="shared" si="19"/>
        <v>1.1999999999999999E-3</v>
      </c>
      <c r="N111" s="26">
        <v>2.0000000000000001E-4</v>
      </c>
      <c r="O111" s="26">
        <v>1.25E-3</v>
      </c>
      <c r="P111" s="26">
        <v>1.1999999999999999E-3</v>
      </c>
    </row>
    <row r="112" spans="1:16" ht="27">
      <c r="A112" s="107" t="s">
        <v>50</v>
      </c>
      <c r="B112" s="108" t="s">
        <v>134</v>
      </c>
      <c r="C112" s="101"/>
      <c r="D112" s="101"/>
      <c r="E112" s="101"/>
      <c r="F112" s="101"/>
      <c r="G112" s="101"/>
      <c r="H112" s="101"/>
      <c r="I112" s="101"/>
      <c r="J112" s="101"/>
      <c r="K112" s="101"/>
      <c r="L112" s="106"/>
    </row>
    <row r="113" spans="1:12">
      <c r="A113" s="100">
        <v>88</v>
      </c>
      <c r="B113" s="101" t="s">
        <v>11</v>
      </c>
      <c r="C113" s="100" t="s">
        <v>12</v>
      </c>
      <c r="D113" s="100">
        <v>6</v>
      </c>
      <c r="E113" s="100" t="s">
        <v>25</v>
      </c>
      <c r="F113" s="100" t="s">
        <v>25</v>
      </c>
      <c r="G113" s="100" t="s">
        <v>25</v>
      </c>
      <c r="H113" s="100" t="s">
        <v>25</v>
      </c>
      <c r="I113" s="100">
        <v>2.5000000000000001E-3</v>
      </c>
      <c r="J113" s="100">
        <v>2.3999999999999998E-3</v>
      </c>
      <c r="K113" s="100">
        <v>6.9999999999999999E-4</v>
      </c>
      <c r="L113" s="98">
        <f t="shared" ref="L113:L121" si="20">J113</f>
        <v>2.3999999999999998E-3</v>
      </c>
    </row>
    <row r="114" spans="1:12">
      <c r="A114" s="100">
        <v>89</v>
      </c>
      <c r="B114" s="101" t="s">
        <v>10</v>
      </c>
      <c r="C114" s="100" t="s">
        <v>4</v>
      </c>
      <c r="D114" s="100">
        <v>6</v>
      </c>
      <c r="E114" s="100" t="s">
        <v>25</v>
      </c>
      <c r="F114" s="100" t="s">
        <v>25</v>
      </c>
      <c r="G114" s="100" t="s">
        <v>25</v>
      </c>
      <c r="H114" s="100" t="s">
        <v>25</v>
      </c>
      <c r="I114" s="100">
        <v>2.5000000000000001E-3</v>
      </c>
      <c r="J114" s="100">
        <v>2.3999999999999998E-3</v>
      </c>
      <c r="K114" s="100">
        <v>6.9999999999999999E-4</v>
      </c>
      <c r="L114" s="98">
        <f t="shared" si="20"/>
        <v>2.3999999999999998E-3</v>
      </c>
    </row>
    <row r="115" spans="1:12">
      <c r="A115" s="100">
        <v>90</v>
      </c>
      <c r="B115" s="101" t="s">
        <v>8</v>
      </c>
      <c r="C115" s="100" t="s">
        <v>7</v>
      </c>
      <c r="D115" s="100">
        <v>6</v>
      </c>
      <c r="E115" s="100" t="s">
        <v>25</v>
      </c>
      <c r="F115" s="100" t="s">
        <v>25</v>
      </c>
      <c r="G115" s="100" t="s">
        <v>25</v>
      </c>
      <c r="H115" s="100" t="s">
        <v>25</v>
      </c>
      <c r="I115" s="100">
        <v>1.2999999999999999E-3</v>
      </c>
      <c r="J115" s="100">
        <v>1.1999999999999999E-3</v>
      </c>
      <c r="K115" s="100">
        <v>2.9999999999999997E-4</v>
      </c>
      <c r="L115" s="98">
        <f t="shared" si="20"/>
        <v>1.1999999999999999E-3</v>
      </c>
    </row>
    <row r="116" spans="1:12">
      <c r="A116" s="100">
        <v>91</v>
      </c>
      <c r="B116" s="101" t="s">
        <v>119</v>
      </c>
      <c r="C116" s="100" t="s">
        <v>7</v>
      </c>
      <c r="D116" s="100">
        <v>1</v>
      </c>
      <c r="E116" s="100" t="s">
        <v>25</v>
      </c>
      <c r="F116" s="100" t="s">
        <v>25</v>
      </c>
      <c r="G116" s="100" t="s">
        <v>25</v>
      </c>
      <c r="H116" s="100" t="s">
        <v>25</v>
      </c>
      <c r="I116" s="100">
        <v>1.2999999999999999E-3</v>
      </c>
      <c r="J116" s="100">
        <v>1.1999999999999999E-3</v>
      </c>
      <c r="K116" s="100">
        <v>2.9999999999999997E-4</v>
      </c>
      <c r="L116" s="98">
        <f t="shared" si="20"/>
        <v>1.1999999999999999E-3</v>
      </c>
    </row>
    <row r="117" spans="1:12">
      <c r="A117" s="100">
        <v>92</v>
      </c>
      <c r="B117" s="101" t="s">
        <v>6</v>
      </c>
      <c r="C117" s="100" t="s">
        <v>7</v>
      </c>
      <c r="D117" s="100">
        <v>1</v>
      </c>
      <c r="E117" s="100" t="s">
        <v>25</v>
      </c>
      <c r="F117" s="100" t="s">
        <v>25</v>
      </c>
      <c r="G117" s="100" t="s">
        <v>25</v>
      </c>
      <c r="H117" s="100" t="s">
        <v>25</v>
      </c>
      <c r="I117" s="100">
        <v>1.2999999999999999E-3</v>
      </c>
      <c r="J117" s="100">
        <v>1.1999999999999999E-3</v>
      </c>
      <c r="K117" s="100">
        <v>2.9999999999999997E-4</v>
      </c>
      <c r="L117" s="98">
        <f t="shared" si="20"/>
        <v>1.1999999999999999E-3</v>
      </c>
    </row>
    <row r="118" spans="1:12">
      <c r="A118" s="100">
        <v>93</v>
      </c>
      <c r="B118" s="101" t="s">
        <v>9</v>
      </c>
      <c r="C118" s="100" t="s">
        <v>4</v>
      </c>
      <c r="D118" s="100">
        <v>1</v>
      </c>
      <c r="E118" s="100" t="s">
        <v>25</v>
      </c>
      <c r="F118" s="100" t="s">
        <v>25</v>
      </c>
      <c r="G118" s="100" t="s">
        <v>25</v>
      </c>
      <c r="H118" s="100" t="s">
        <v>25</v>
      </c>
      <c r="I118" s="100">
        <v>2.5000000000000001E-3</v>
      </c>
      <c r="J118" s="100">
        <v>2.3999999999999998E-3</v>
      </c>
      <c r="K118" s="100">
        <v>6.9999999999999999E-4</v>
      </c>
      <c r="L118" s="98">
        <f t="shared" si="20"/>
        <v>2.3999999999999998E-3</v>
      </c>
    </row>
    <row r="119" spans="1:12">
      <c r="A119" s="100">
        <v>94</v>
      </c>
      <c r="B119" s="101" t="s">
        <v>13</v>
      </c>
      <c r="C119" s="100" t="s">
        <v>4</v>
      </c>
      <c r="D119" s="100">
        <v>12</v>
      </c>
      <c r="E119" s="100" t="s">
        <v>25</v>
      </c>
      <c r="F119" s="100" t="s">
        <v>25</v>
      </c>
      <c r="G119" s="100" t="s">
        <v>25</v>
      </c>
      <c r="H119" s="100" t="s">
        <v>25</v>
      </c>
      <c r="I119" s="100">
        <v>1.2999999999999999E-3</v>
      </c>
      <c r="J119" s="100">
        <v>1.1999999999999999E-3</v>
      </c>
      <c r="K119" s="100">
        <v>2.9999999999999997E-4</v>
      </c>
      <c r="L119" s="98">
        <f t="shared" si="20"/>
        <v>1.1999999999999999E-3</v>
      </c>
    </row>
    <row r="120" spans="1:12">
      <c r="A120" s="100">
        <v>95</v>
      </c>
      <c r="B120" s="101" t="s">
        <v>3</v>
      </c>
      <c r="C120" s="100" t="s">
        <v>4</v>
      </c>
      <c r="D120" s="100">
        <v>12</v>
      </c>
      <c r="E120" s="100" t="s">
        <v>25</v>
      </c>
      <c r="F120" s="100" t="s">
        <v>25</v>
      </c>
      <c r="G120" s="100" t="s">
        <v>25</v>
      </c>
      <c r="H120" s="100" t="s">
        <v>25</v>
      </c>
      <c r="I120" s="100">
        <v>2.5000000000000001E-3</v>
      </c>
      <c r="J120" s="100">
        <v>2.3999999999999998E-3</v>
      </c>
      <c r="K120" s="100">
        <v>6.9999999999999999E-4</v>
      </c>
      <c r="L120" s="98">
        <f t="shared" si="20"/>
        <v>2.3999999999999998E-3</v>
      </c>
    </row>
    <row r="121" spans="1:12">
      <c r="A121" s="100">
        <v>96</v>
      </c>
      <c r="B121" s="101" t="s">
        <v>14</v>
      </c>
      <c r="C121" s="100" t="s">
        <v>7</v>
      </c>
      <c r="D121" s="100">
        <v>12</v>
      </c>
      <c r="E121" s="100" t="s">
        <v>25</v>
      </c>
      <c r="F121" s="100" t="s">
        <v>25</v>
      </c>
      <c r="G121" s="100" t="s">
        <v>25</v>
      </c>
      <c r="H121" s="100" t="s">
        <v>25</v>
      </c>
      <c r="I121" s="100">
        <v>1.2999999999999999E-3</v>
      </c>
      <c r="J121" s="100">
        <v>1.1999999999999999E-3</v>
      </c>
      <c r="K121" s="100">
        <v>2.9999999999999997E-4</v>
      </c>
      <c r="L121" s="98">
        <f t="shared" si="20"/>
        <v>1.1999999999999999E-3</v>
      </c>
    </row>
    <row r="122" spans="1:12" ht="15">
      <c r="A122" s="107" t="s">
        <v>135</v>
      </c>
      <c r="B122" s="108" t="s">
        <v>83</v>
      </c>
      <c r="C122" s="101"/>
      <c r="D122" s="101"/>
      <c r="E122" s="101"/>
      <c r="F122" s="101"/>
      <c r="G122" s="101"/>
      <c r="H122" s="101"/>
      <c r="I122" s="101"/>
      <c r="J122" s="101"/>
      <c r="K122" s="101"/>
      <c r="L122" s="106"/>
    </row>
    <row r="123" spans="1:12">
      <c r="A123" s="100">
        <v>97</v>
      </c>
      <c r="B123" s="101" t="s">
        <v>11</v>
      </c>
      <c r="C123" s="100" t="s">
        <v>12</v>
      </c>
      <c r="D123" s="100">
        <v>6</v>
      </c>
      <c r="E123" s="100">
        <v>3.0000000000000001E-3</v>
      </c>
      <c r="F123" s="100">
        <v>2.5000000000000001E-3</v>
      </c>
      <c r="G123" s="100">
        <v>2E-3</v>
      </c>
      <c r="H123" s="100">
        <v>1.5E-3</v>
      </c>
      <c r="I123" s="100">
        <v>5.9999999999999995E-4</v>
      </c>
      <c r="J123" s="100">
        <v>5.0000000000000001E-4</v>
      </c>
      <c r="K123" s="100">
        <v>1.6000000000000001E-3</v>
      </c>
      <c r="L123" s="98">
        <f t="shared" ref="L123:L151" si="21">J123</f>
        <v>5.0000000000000001E-4</v>
      </c>
    </row>
    <row r="124" spans="1:12">
      <c r="A124" s="100">
        <v>98</v>
      </c>
      <c r="B124" s="101" t="s">
        <v>10</v>
      </c>
      <c r="C124" s="100" t="s">
        <v>4</v>
      </c>
      <c r="D124" s="100">
        <v>6</v>
      </c>
      <c r="E124" s="100">
        <v>3.0000000000000001E-3</v>
      </c>
      <c r="F124" s="100">
        <v>2.5000000000000001E-3</v>
      </c>
      <c r="G124" s="100">
        <v>2E-3</v>
      </c>
      <c r="H124" s="100">
        <v>1.5E-3</v>
      </c>
      <c r="I124" s="100">
        <v>5.9999999999999995E-4</v>
      </c>
      <c r="J124" s="100">
        <v>5.0000000000000001E-4</v>
      </c>
      <c r="K124" s="100">
        <v>1.6000000000000001E-3</v>
      </c>
      <c r="L124" s="98">
        <f t="shared" si="21"/>
        <v>5.0000000000000001E-4</v>
      </c>
    </row>
    <row r="125" spans="1:12">
      <c r="A125" s="100">
        <v>99</v>
      </c>
      <c r="B125" s="101" t="s">
        <v>8</v>
      </c>
      <c r="C125" s="100" t="s">
        <v>7</v>
      </c>
      <c r="D125" s="100">
        <v>6</v>
      </c>
      <c r="E125" s="100">
        <v>1.5E-3</v>
      </c>
      <c r="F125" s="100">
        <v>1.25E-3</v>
      </c>
      <c r="G125" s="100">
        <v>1E-3</v>
      </c>
      <c r="H125" s="100">
        <v>7.5000000000000002E-4</v>
      </c>
      <c r="I125" s="100">
        <v>2.9999999999999997E-4</v>
      </c>
      <c r="J125" s="100">
        <v>2.9999999999999997E-4</v>
      </c>
      <c r="K125" s="100">
        <v>8.0000000000000004E-4</v>
      </c>
      <c r="L125" s="98">
        <f t="shared" si="21"/>
        <v>2.9999999999999997E-4</v>
      </c>
    </row>
    <row r="126" spans="1:12">
      <c r="A126" s="100">
        <v>100</v>
      </c>
      <c r="B126" s="101" t="s">
        <v>119</v>
      </c>
      <c r="C126" s="100" t="s">
        <v>7</v>
      </c>
      <c r="D126" s="100">
        <v>1</v>
      </c>
      <c r="E126" s="100">
        <v>1.5E-3</v>
      </c>
      <c r="F126" s="100">
        <v>1.25E-3</v>
      </c>
      <c r="G126" s="100">
        <v>1E-3</v>
      </c>
      <c r="H126" s="100">
        <v>7.5000000000000002E-4</v>
      </c>
      <c r="I126" s="100">
        <v>2.9999999999999997E-4</v>
      </c>
      <c r="J126" s="100">
        <v>2.9999999999999997E-4</v>
      </c>
      <c r="K126" s="100">
        <v>8.0000000000000004E-4</v>
      </c>
      <c r="L126" s="98">
        <f t="shared" si="21"/>
        <v>2.9999999999999997E-4</v>
      </c>
    </row>
    <row r="127" spans="1:12">
      <c r="A127" s="100">
        <v>101</v>
      </c>
      <c r="B127" s="101" t="s">
        <v>6</v>
      </c>
      <c r="C127" s="100" t="s">
        <v>7</v>
      </c>
      <c r="D127" s="100">
        <v>1</v>
      </c>
      <c r="E127" s="100">
        <v>1.5E-3</v>
      </c>
      <c r="F127" s="100">
        <v>1.25E-3</v>
      </c>
      <c r="G127" s="100">
        <v>1E-3</v>
      </c>
      <c r="H127" s="100">
        <v>7.5000000000000002E-4</v>
      </c>
      <c r="I127" s="100">
        <v>2.9999999999999997E-4</v>
      </c>
      <c r="J127" s="100">
        <v>2.9999999999999997E-4</v>
      </c>
      <c r="K127" s="100">
        <v>8.0000000000000004E-4</v>
      </c>
      <c r="L127" s="98">
        <f t="shared" si="21"/>
        <v>2.9999999999999997E-4</v>
      </c>
    </row>
    <row r="128" spans="1:12">
      <c r="A128" s="100">
        <v>102</v>
      </c>
      <c r="B128" s="101" t="s">
        <v>9</v>
      </c>
      <c r="C128" s="100" t="s">
        <v>4</v>
      </c>
      <c r="D128" s="100">
        <v>1</v>
      </c>
      <c r="E128" s="100">
        <v>3.0000000000000001E-3</v>
      </c>
      <c r="F128" s="100">
        <v>2.5000000000000001E-3</v>
      </c>
      <c r="G128" s="100">
        <v>2E-3</v>
      </c>
      <c r="H128" s="100">
        <v>1.5E-3</v>
      </c>
      <c r="I128" s="100">
        <v>5.9999999999999995E-4</v>
      </c>
      <c r="J128" s="100">
        <v>5.0000000000000001E-4</v>
      </c>
      <c r="K128" s="100">
        <v>1.6000000000000001E-3</v>
      </c>
      <c r="L128" s="98">
        <f t="shared" si="21"/>
        <v>5.0000000000000001E-4</v>
      </c>
    </row>
    <row r="129" spans="1:12">
      <c r="A129" s="100">
        <v>103</v>
      </c>
      <c r="B129" s="101" t="s">
        <v>13</v>
      </c>
      <c r="C129" s="100" t="s">
        <v>4</v>
      </c>
      <c r="D129" s="100">
        <v>12</v>
      </c>
      <c r="E129" s="100">
        <v>1.5E-3</v>
      </c>
      <c r="F129" s="100">
        <v>1.25E-3</v>
      </c>
      <c r="G129" s="100">
        <v>1E-3</v>
      </c>
      <c r="H129" s="100">
        <v>7.5000000000000002E-4</v>
      </c>
      <c r="I129" s="100">
        <v>2.9999999999999997E-4</v>
      </c>
      <c r="J129" s="100">
        <v>2.9999999999999997E-4</v>
      </c>
      <c r="K129" s="100">
        <v>8.0000000000000004E-4</v>
      </c>
      <c r="L129" s="98">
        <f t="shared" si="21"/>
        <v>2.9999999999999997E-4</v>
      </c>
    </row>
    <row r="130" spans="1:12">
      <c r="A130" s="100">
        <v>104</v>
      </c>
      <c r="B130" s="101" t="s">
        <v>3</v>
      </c>
      <c r="C130" s="100" t="s">
        <v>4</v>
      </c>
      <c r="D130" s="100">
        <v>12</v>
      </c>
      <c r="E130" s="100">
        <v>1.5E-3</v>
      </c>
      <c r="F130" s="100">
        <v>1.25E-3</v>
      </c>
      <c r="G130" s="100">
        <v>1E-3</v>
      </c>
      <c r="H130" s="100">
        <v>7.5000000000000002E-4</v>
      </c>
      <c r="I130" s="100">
        <v>5.9999999999999995E-4</v>
      </c>
      <c r="J130" s="100">
        <v>5.0000000000000001E-4</v>
      </c>
      <c r="K130" s="100">
        <v>1.6000000000000001E-3</v>
      </c>
      <c r="L130" s="98">
        <f t="shared" si="21"/>
        <v>5.0000000000000001E-4</v>
      </c>
    </row>
    <row r="131" spans="1:12">
      <c r="A131" s="100">
        <v>105</v>
      </c>
      <c r="B131" s="101" t="s">
        <v>14</v>
      </c>
      <c r="C131" s="100" t="s">
        <v>7</v>
      </c>
      <c r="D131" s="100">
        <v>12</v>
      </c>
      <c r="E131" s="100">
        <v>1.5E-3</v>
      </c>
      <c r="F131" s="100">
        <v>1.25E-3</v>
      </c>
      <c r="G131" s="100">
        <v>1E-3</v>
      </c>
      <c r="H131" s="100">
        <v>7.5000000000000002E-4</v>
      </c>
      <c r="I131" s="100">
        <v>2.9999999999999997E-4</v>
      </c>
      <c r="J131" s="100">
        <v>2.9999999999999997E-4</v>
      </c>
      <c r="K131" s="100">
        <v>8.0000000000000004E-4</v>
      </c>
      <c r="L131" s="98">
        <f t="shared" si="21"/>
        <v>2.9999999999999997E-4</v>
      </c>
    </row>
    <row r="132" spans="1:12" ht="15">
      <c r="A132" s="107" t="s">
        <v>136</v>
      </c>
      <c r="B132" s="108" t="s">
        <v>331</v>
      </c>
      <c r="C132" s="101"/>
      <c r="D132" s="101"/>
      <c r="E132" s="101"/>
      <c r="F132" s="101"/>
      <c r="G132" s="101"/>
      <c r="H132" s="101"/>
      <c r="I132" s="101"/>
      <c r="J132" s="101"/>
      <c r="K132" s="101"/>
      <c r="L132" s="106"/>
    </row>
    <row r="133" spans="1:12">
      <c r="A133" s="100">
        <v>106</v>
      </c>
      <c r="B133" s="101" t="s">
        <v>11</v>
      </c>
      <c r="C133" s="100" t="s">
        <v>12</v>
      </c>
      <c r="D133" s="100">
        <v>6</v>
      </c>
      <c r="E133" s="100" t="s">
        <v>25</v>
      </c>
      <c r="F133" s="100" t="s">
        <v>25</v>
      </c>
      <c r="G133" s="100" t="s">
        <v>25</v>
      </c>
      <c r="H133" s="100" t="s">
        <v>25</v>
      </c>
      <c r="I133" s="100">
        <v>1.5E-3</v>
      </c>
      <c r="J133" s="100">
        <v>1E-3</v>
      </c>
      <c r="K133" s="100">
        <v>1.5E-3</v>
      </c>
      <c r="L133" s="98">
        <f t="shared" si="21"/>
        <v>1E-3</v>
      </c>
    </row>
    <row r="134" spans="1:12">
      <c r="A134" s="100">
        <v>107</v>
      </c>
      <c r="B134" s="101" t="s">
        <v>10</v>
      </c>
      <c r="C134" s="100" t="s">
        <v>4</v>
      </c>
      <c r="D134" s="100">
        <v>6</v>
      </c>
      <c r="E134" s="100" t="s">
        <v>25</v>
      </c>
      <c r="F134" s="100" t="s">
        <v>25</v>
      </c>
      <c r="G134" s="100" t="s">
        <v>25</v>
      </c>
      <c r="H134" s="100" t="s">
        <v>25</v>
      </c>
      <c r="I134" s="100">
        <v>1.5E-3</v>
      </c>
      <c r="J134" s="100">
        <v>1E-3</v>
      </c>
      <c r="K134" s="100">
        <v>1.5E-3</v>
      </c>
      <c r="L134" s="98">
        <f t="shared" si="21"/>
        <v>1E-3</v>
      </c>
    </row>
    <row r="135" spans="1:12">
      <c r="A135" s="100">
        <v>108</v>
      </c>
      <c r="B135" s="101" t="s">
        <v>8</v>
      </c>
      <c r="C135" s="100" t="s">
        <v>7</v>
      </c>
      <c r="D135" s="100">
        <v>6</v>
      </c>
      <c r="E135" s="100" t="s">
        <v>25</v>
      </c>
      <c r="F135" s="100" t="s">
        <v>25</v>
      </c>
      <c r="G135" s="100" t="s">
        <v>25</v>
      </c>
      <c r="H135" s="100" t="s">
        <v>25</v>
      </c>
      <c r="I135" s="100">
        <v>8.0000000000000004E-4</v>
      </c>
      <c r="J135" s="100">
        <v>5.0000000000000001E-4</v>
      </c>
      <c r="K135" s="100">
        <v>8.0000000000000004E-4</v>
      </c>
      <c r="L135" s="98">
        <f t="shared" si="21"/>
        <v>5.0000000000000001E-4</v>
      </c>
    </row>
    <row r="136" spans="1:12">
      <c r="A136" s="100">
        <v>109</v>
      </c>
      <c r="B136" s="101" t="s">
        <v>119</v>
      </c>
      <c r="C136" s="100" t="s">
        <v>7</v>
      </c>
      <c r="D136" s="100">
        <v>1</v>
      </c>
      <c r="E136" s="100" t="s">
        <v>25</v>
      </c>
      <c r="F136" s="100" t="s">
        <v>25</v>
      </c>
      <c r="G136" s="100" t="s">
        <v>25</v>
      </c>
      <c r="H136" s="100" t="s">
        <v>25</v>
      </c>
      <c r="I136" s="100">
        <v>8.0000000000000004E-4</v>
      </c>
      <c r="J136" s="100">
        <v>5.0000000000000001E-4</v>
      </c>
      <c r="K136" s="100">
        <v>8.0000000000000004E-4</v>
      </c>
      <c r="L136" s="98">
        <f t="shared" si="21"/>
        <v>5.0000000000000001E-4</v>
      </c>
    </row>
    <row r="137" spans="1:12">
      <c r="A137" s="100">
        <v>110</v>
      </c>
      <c r="B137" s="101" t="s">
        <v>6</v>
      </c>
      <c r="C137" s="100" t="s">
        <v>7</v>
      </c>
      <c r="D137" s="100">
        <v>1</v>
      </c>
      <c r="E137" s="100" t="s">
        <v>25</v>
      </c>
      <c r="F137" s="100" t="s">
        <v>25</v>
      </c>
      <c r="G137" s="100" t="s">
        <v>25</v>
      </c>
      <c r="H137" s="100" t="s">
        <v>25</v>
      </c>
      <c r="I137" s="100">
        <v>8.0000000000000004E-4</v>
      </c>
      <c r="J137" s="100">
        <v>5.0000000000000001E-4</v>
      </c>
      <c r="K137" s="100">
        <v>8.0000000000000004E-4</v>
      </c>
      <c r="L137" s="98">
        <f t="shared" si="21"/>
        <v>5.0000000000000001E-4</v>
      </c>
    </row>
    <row r="138" spans="1:12">
      <c r="A138" s="100">
        <v>111</v>
      </c>
      <c r="B138" s="101" t="s">
        <v>9</v>
      </c>
      <c r="C138" s="100" t="s">
        <v>4</v>
      </c>
      <c r="D138" s="100">
        <v>1</v>
      </c>
      <c r="E138" s="100" t="s">
        <v>25</v>
      </c>
      <c r="F138" s="100" t="s">
        <v>25</v>
      </c>
      <c r="G138" s="100" t="s">
        <v>25</v>
      </c>
      <c r="H138" s="100" t="s">
        <v>25</v>
      </c>
      <c r="I138" s="100">
        <v>1.5E-3</v>
      </c>
      <c r="J138" s="100">
        <v>1E-3</v>
      </c>
      <c r="K138" s="100">
        <v>1.5E-3</v>
      </c>
      <c r="L138" s="98">
        <f t="shared" si="21"/>
        <v>1E-3</v>
      </c>
    </row>
    <row r="139" spans="1:12">
      <c r="A139" s="100">
        <v>112</v>
      </c>
      <c r="B139" s="101" t="s">
        <v>13</v>
      </c>
      <c r="C139" s="100" t="s">
        <v>4</v>
      </c>
      <c r="D139" s="100">
        <v>12</v>
      </c>
      <c r="E139" s="100" t="s">
        <v>25</v>
      </c>
      <c r="F139" s="100" t="s">
        <v>25</v>
      </c>
      <c r="G139" s="100" t="s">
        <v>25</v>
      </c>
      <c r="H139" s="100" t="s">
        <v>25</v>
      </c>
      <c r="I139" s="100">
        <v>8.0000000000000004E-4</v>
      </c>
      <c r="J139" s="100">
        <v>5.0000000000000001E-4</v>
      </c>
      <c r="K139" s="100">
        <v>8.0000000000000004E-4</v>
      </c>
      <c r="L139" s="98">
        <f t="shared" si="21"/>
        <v>5.0000000000000001E-4</v>
      </c>
    </row>
    <row r="140" spans="1:12">
      <c r="A140" s="100">
        <v>113</v>
      </c>
      <c r="B140" s="101" t="s">
        <v>3</v>
      </c>
      <c r="C140" s="100" t="s">
        <v>4</v>
      </c>
      <c r="D140" s="100">
        <v>12</v>
      </c>
      <c r="E140" s="100" t="s">
        <v>25</v>
      </c>
      <c r="F140" s="100" t="s">
        <v>25</v>
      </c>
      <c r="G140" s="100" t="s">
        <v>25</v>
      </c>
      <c r="H140" s="100" t="s">
        <v>25</v>
      </c>
      <c r="I140" s="100">
        <v>1.5E-3</v>
      </c>
      <c r="J140" s="100">
        <v>1E-3</v>
      </c>
      <c r="K140" s="100">
        <v>1.5E-3</v>
      </c>
      <c r="L140" s="98">
        <f t="shared" si="21"/>
        <v>1E-3</v>
      </c>
    </row>
    <row r="141" spans="1:12">
      <c r="A141" s="100">
        <v>114</v>
      </c>
      <c r="B141" s="101" t="s">
        <v>14</v>
      </c>
      <c r="C141" s="100" t="s">
        <v>7</v>
      </c>
      <c r="D141" s="100">
        <v>12</v>
      </c>
      <c r="E141" s="100" t="s">
        <v>25</v>
      </c>
      <c r="F141" s="100" t="s">
        <v>25</v>
      </c>
      <c r="G141" s="100" t="s">
        <v>25</v>
      </c>
      <c r="H141" s="100" t="s">
        <v>25</v>
      </c>
      <c r="I141" s="100">
        <v>8.0000000000000004E-4</v>
      </c>
      <c r="J141" s="100">
        <v>5.0000000000000001E-4</v>
      </c>
      <c r="K141" s="100">
        <v>8.0000000000000004E-4</v>
      </c>
      <c r="L141" s="98">
        <f t="shared" si="21"/>
        <v>5.0000000000000001E-4</v>
      </c>
    </row>
    <row r="142" spans="1:12" ht="27">
      <c r="A142" s="107" t="s">
        <v>138</v>
      </c>
      <c r="B142" s="108" t="s">
        <v>139</v>
      </c>
      <c r="C142" s="101"/>
      <c r="D142" s="101"/>
      <c r="E142" s="101"/>
      <c r="F142" s="101"/>
      <c r="G142" s="101"/>
      <c r="H142" s="101"/>
      <c r="I142" s="101"/>
      <c r="J142" s="101"/>
      <c r="K142" s="101"/>
      <c r="L142" s="106"/>
    </row>
    <row r="143" spans="1:12">
      <c r="A143" s="100">
        <v>115</v>
      </c>
      <c r="B143" s="101" t="s">
        <v>11</v>
      </c>
      <c r="C143" s="100" t="s">
        <v>12</v>
      </c>
      <c r="D143" s="100">
        <v>6</v>
      </c>
      <c r="E143" s="100">
        <v>1.15E-2</v>
      </c>
      <c r="F143" s="100">
        <v>1.0500000000000001E-2</v>
      </c>
      <c r="G143" s="100">
        <v>1.0500000000000001E-2</v>
      </c>
      <c r="H143" s="100">
        <v>1.0500000000000001E-2</v>
      </c>
      <c r="I143" s="100">
        <v>5.4999999999999997E-3</v>
      </c>
      <c r="J143" s="100">
        <v>4.5999999999999999E-3</v>
      </c>
      <c r="K143" s="100">
        <v>1.5E-3</v>
      </c>
      <c r="L143" s="98">
        <f t="shared" si="21"/>
        <v>4.5999999999999999E-3</v>
      </c>
    </row>
    <row r="144" spans="1:12">
      <c r="A144" s="100">
        <v>116</v>
      </c>
      <c r="B144" s="101" t="s">
        <v>10</v>
      </c>
      <c r="C144" s="100" t="s">
        <v>4</v>
      </c>
      <c r="D144" s="100">
        <v>6</v>
      </c>
      <c r="E144" s="100">
        <v>1.15E-2</v>
      </c>
      <c r="F144" s="100">
        <v>1.0500000000000001E-2</v>
      </c>
      <c r="G144" s="100">
        <v>1.0500000000000001E-2</v>
      </c>
      <c r="H144" s="100">
        <v>1.0500000000000001E-2</v>
      </c>
      <c r="I144" s="100">
        <v>5.4999999999999997E-3</v>
      </c>
      <c r="J144" s="100">
        <v>4.5999999999999999E-3</v>
      </c>
      <c r="K144" s="100">
        <v>1.5E-3</v>
      </c>
      <c r="L144" s="98">
        <f t="shared" si="21"/>
        <v>4.5999999999999999E-3</v>
      </c>
    </row>
    <row r="145" spans="1:12">
      <c r="A145" s="100">
        <v>117</v>
      </c>
      <c r="B145" s="101" t="s">
        <v>8</v>
      </c>
      <c r="C145" s="100" t="s">
        <v>7</v>
      </c>
      <c r="D145" s="100">
        <v>6</v>
      </c>
      <c r="E145" s="100">
        <v>5.7499999999999999E-3</v>
      </c>
      <c r="F145" s="100">
        <v>5.2500000000000003E-3</v>
      </c>
      <c r="G145" s="100">
        <v>5.2500000000000003E-3</v>
      </c>
      <c r="H145" s="100">
        <v>5.2500000000000003E-3</v>
      </c>
      <c r="I145" s="100">
        <v>2.8E-3</v>
      </c>
      <c r="J145" s="100">
        <v>2.3E-3</v>
      </c>
      <c r="K145" s="100">
        <v>8.0000000000000004E-4</v>
      </c>
      <c r="L145" s="98">
        <f t="shared" si="21"/>
        <v>2.3E-3</v>
      </c>
    </row>
    <row r="146" spans="1:12">
      <c r="A146" s="100">
        <v>118</v>
      </c>
      <c r="B146" s="101" t="s">
        <v>119</v>
      </c>
      <c r="C146" s="100" t="s">
        <v>7</v>
      </c>
      <c r="D146" s="100">
        <v>1</v>
      </c>
      <c r="E146" s="100">
        <v>5.7499999999999999E-3</v>
      </c>
      <c r="F146" s="100">
        <v>5.2500000000000003E-3</v>
      </c>
      <c r="G146" s="100">
        <v>5.2500000000000003E-3</v>
      </c>
      <c r="H146" s="100">
        <v>5.2500000000000003E-3</v>
      </c>
      <c r="I146" s="100">
        <v>2.8E-3</v>
      </c>
      <c r="J146" s="100">
        <v>2.3E-3</v>
      </c>
      <c r="K146" s="100">
        <v>8.0000000000000004E-4</v>
      </c>
      <c r="L146" s="98">
        <f t="shared" si="21"/>
        <v>2.3E-3</v>
      </c>
    </row>
    <row r="147" spans="1:12">
      <c r="A147" s="100">
        <v>119</v>
      </c>
      <c r="B147" s="101" t="s">
        <v>6</v>
      </c>
      <c r="C147" s="100" t="s">
        <v>7</v>
      </c>
      <c r="D147" s="100">
        <v>1</v>
      </c>
      <c r="E147" s="100">
        <v>5.7499999999999999E-3</v>
      </c>
      <c r="F147" s="100">
        <v>5.2500000000000003E-3</v>
      </c>
      <c r="G147" s="100">
        <v>5.2500000000000003E-3</v>
      </c>
      <c r="H147" s="100">
        <v>5.2500000000000003E-3</v>
      </c>
      <c r="I147" s="100">
        <v>2.8E-3</v>
      </c>
      <c r="J147" s="100">
        <v>2.3E-3</v>
      </c>
      <c r="K147" s="100">
        <v>8.0000000000000004E-4</v>
      </c>
      <c r="L147" s="98">
        <f t="shared" si="21"/>
        <v>2.3E-3</v>
      </c>
    </row>
    <row r="148" spans="1:12">
      <c r="A148" s="100">
        <v>120</v>
      </c>
      <c r="B148" s="101" t="s">
        <v>9</v>
      </c>
      <c r="C148" s="100" t="s">
        <v>4</v>
      </c>
      <c r="D148" s="100">
        <v>1</v>
      </c>
      <c r="E148" s="100">
        <v>1.15E-2</v>
      </c>
      <c r="F148" s="100">
        <v>1.0500000000000001E-2</v>
      </c>
      <c r="G148" s="100">
        <v>1.0500000000000001E-2</v>
      </c>
      <c r="H148" s="100">
        <v>1.0500000000000001E-2</v>
      </c>
      <c r="I148" s="100">
        <v>5.4999999999999997E-3</v>
      </c>
      <c r="J148" s="100">
        <v>4.5999999999999999E-3</v>
      </c>
      <c r="K148" s="100">
        <v>1.5E-3</v>
      </c>
      <c r="L148" s="98">
        <f t="shared" si="21"/>
        <v>4.5999999999999999E-3</v>
      </c>
    </row>
    <row r="149" spans="1:12">
      <c r="A149" s="100">
        <v>121</v>
      </c>
      <c r="B149" s="101" t="s">
        <v>13</v>
      </c>
      <c r="C149" s="100" t="s">
        <v>4</v>
      </c>
      <c r="D149" s="100">
        <v>12</v>
      </c>
      <c r="E149" s="100">
        <v>5.7499999999999999E-3</v>
      </c>
      <c r="F149" s="100">
        <v>5.2500000000000003E-3</v>
      </c>
      <c r="G149" s="100">
        <v>5.2500000000000003E-3</v>
      </c>
      <c r="H149" s="100">
        <v>5.2500000000000003E-3</v>
      </c>
      <c r="I149" s="100">
        <v>2.8E-3</v>
      </c>
      <c r="J149" s="100">
        <v>2.3E-3</v>
      </c>
      <c r="K149" s="100">
        <v>8.0000000000000004E-4</v>
      </c>
      <c r="L149" s="98">
        <f t="shared" si="21"/>
        <v>2.3E-3</v>
      </c>
    </row>
    <row r="150" spans="1:12">
      <c r="A150" s="100">
        <v>122</v>
      </c>
      <c r="B150" s="101" t="s">
        <v>3</v>
      </c>
      <c r="C150" s="100" t="s">
        <v>4</v>
      </c>
      <c r="D150" s="100">
        <v>12</v>
      </c>
      <c r="E150" s="100">
        <v>5.7499999999999999E-3</v>
      </c>
      <c r="F150" s="100">
        <v>5.2500000000000003E-3</v>
      </c>
      <c r="G150" s="100">
        <v>5.2500000000000003E-3</v>
      </c>
      <c r="H150" s="100">
        <v>5.2500000000000003E-3</v>
      </c>
      <c r="I150" s="100">
        <v>5.4999999999999997E-3</v>
      </c>
      <c r="J150" s="100">
        <v>4.5999999999999999E-3</v>
      </c>
      <c r="K150" s="100">
        <v>1.5E-3</v>
      </c>
      <c r="L150" s="98">
        <f t="shared" si="21"/>
        <v>4.5999999999999999E-3</v>
      </c>
    </row>
    <row r="151" spans="1:12">
      <c r="A151" s="100">
        <v>123</v>
      </c>
      <c r="B151" s="101" t="s">
        <v>14</v>
      </c>
      <c r="C151" s="100" t="s">
        <v>7</v>
      </c>
      <c r="D151" s="100">
        <v>12</v>
      </c>
      <c r="E151" s="100">
        <v>5.7499999999999999E-3</v>
      </c>
      <c r="F151" s="100">
        <v>5.2500000000000003E-3</v>
      </c>
      <c r="G151" s="100">
        <v>5.2500000000000003E-3</v>
      </c>
      <c r="H151" s="100">
        <v>5.2500000000000003E-3</v>
      </c>
      <c r="I151" s="100">
        <v>2.8E-3</v>
      </c>
      <c r="J151" s="100">
        <v>2.3E-3</v>
      </c>
      <c r="K151" s="100">
        <v>8.0000000000000004E-4</v>
      </c>
      <c r="L151" s="98">
        <f t="shared" si="21"/>
        <v>2.3E-3</v>
      </c>
    </row>
  </sheetData>
  <mergeCells count="6">
    <mergeCell ref="L4:L5"/>
    <mergeCell ref="A4:A5"/>
    <mergeCell ref="B4:B5"/>
    <mergeCell ref="C4:C5"/>
    <mergeCell ref="D4:D5"/>
    <mergeCell ref="E4:K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M20" sqref="M20"/>
    </sheetView>
  </sheetViews>
  <sheetFormatPr defaultColWidth="9.375" defaultRowHeight="14.25"/>
  <cols>
    <col min="1" max="1" width="3.375" bestFit="1" customWidth="1"/>
    <col min="2" max="2" width="19.5" bestFit="1" customWidth="1"/>
    <col min="3" max="3" width="10.875" bestFit="1" customWidth="1"/>
    <col min="4" max="10" width="7.625" bestFit="1" customWidth="1"/>
    <col min="11" max="11" width="15.625" customWidth="1"/>
  </cols>
  <sheetData>
    <row r="1" spans="1:11">
      <c r="A1" s="27"/>
      <c r="B1" s="27" t="s">
        <v>140</v>
      </c>
    </row>
    <row r="2" spans="1:11" ht="15">
      <c r="A2" s="28"/>
      <c r="B2" s="28" t="s">
        <v>141</v>
      </c>
      <c r="K2" s="92" t="s">
        <v>326</v>
      </c>
    </row>
    <row r="3" spans="1:11" ht="15">
      <c r="D3">
        <v>250</v>
      </c>
      <c r="E3">
        <v>500</v>
      </c>
      <c r="F3">
        <v>750</v>
      </c>
      <c r="G3">
        <v>1000</v>
      </c>
      <c r="H3">
        <v>1250</v>
      </c>
      <c r="I3">
        <v>1500</v>
      </c>
      <c r="K3" s="93" t="s">
        <v>327</v>
      </c>
    </row>
    <row r="4" spans="1:11">
      <c r="A4" s="751" t="s">
        <v>19</v>
      </c>
      <c r="B4" s="751" t="s">
        <v>30</v>
      </c>
      <c r="C4" s="751" t="s">
        <v>27</v>
      </c>
      <c r="D4" s="751" t="s">
        <v>142</v>
      </c>
      <c r="E4" s="751"/>
      <c r="F4" s="751"/>
      <c r="G4" s="751"/>
      <c r="H4" s="751"/>
      <c r="I4" s="751"/>
      <c r="J4" s="751"/>
      <c r="K4" s="761" t="s">
        <v>328</v>
      </c>
    </row>
    <row r="5" spans="1:11">
      <c r="A5" s="751"/>
      <c r="B5" s="751"/>
      <c r="C5" s="751"/>
      <c r="D5" s="98" t="s">
        <v>59</v>
      </c>
      <c r="E5" s="98" t="s">
        <v>60</v>
      </c>
      <c r="F5" s="98" t="s">
        <v>61</v>
      </c>
      <c r="G5" s="98" t="s">
        <v>62</v>
      </c>
      <c r="H5" s="98" t="s">
        <v>63</v>
      </c>
      <c r="I5" s="99" t="s">
        <v>64</v>
      </c>
      <c r="J5" s="98" t="s">
        <v>65</v>
      </c>
      <c r="K5" s="761"/>
    </row>
    <row r="6" spans="1:11" ht="25.5">
      <c r="A6" s="98" t="s">
        <v>2</v>
      </c>
      <c r="B6" s="104" t="s">
        <v>66</v>
      </c>
      <c r="C6" s="101"/>
      <c r="D6" s="101"/>
      <c r="E6" s="101"/>
      <c r="F6" s="101"/>
      <c r="G6" s="101"/>
      <c r="H6" s="101"/>
      <c r="I6" s="105"/>
      <c r="J6" s="101"/>
      <c r="K6" s="106"/>
    </row>
    <row r="7" spans="1:11">
      <c r="A7" s="100">
        <v>1</v>
      </c>
      <c r="B7" s="101" t="s">
        <v>143</v>
      </c>
      <c r="C7" s="100" t="s">
        <v>144</v>
      </c>
      <c r="D7" s="100">
        <v>2.7999999999999998E-4</v>
      </c>
      <c r="E7" s="100">
        <v>2.7E-4</v>
      </c>
      <c r="F7" s="100">
        <v>2.5999999999999998E-4</v>
      </c>
      <c r="G7" s="100">
        <v>2.5000000000000001E-4</v>
      </c>
      <c r="H7" s="100">
        <v>2.4000000000000001E-4</v>
      </c>
      <c r="I7" s="102">
        <v>2.4000000000000001E-4</v>
      </c>
      <c r="J7" s="100">
        <v>2.4000000000000001E-4</v>
      </c>
      <c r="K7" s="98">
        <f>I7</f>
        <v>2.4000000000000001E-4</v>
      </c>
    </row>
    <row r="8" spans="1:11" ht="25.5">
      <c r="A8" s="98" t="s">
        <v>16</v>
      </c>
      <c r="B8" s="104" t="s">
        <v>73</v>
      </c>
      <c r="C8" s="101"/>
      <c r="D8" s="101"/>
      <c r="E8" s="101"/>
      <c r="F8" s="101"/>
      <c r="G8" s="101"/>
      <c r="H8" s="101"/>
      <c r="I8" s="105"/>
      <c r="J8" s="101"/>
      <c r="K8" s="98"/>
    </row>
    <row r="9" spans="1:11">
      <c r="A9" s="100">
        <v>2</v>
      </c>
      <c r="B9" s="101" t="s">
        <v>145</v>
      </c>
      <c r="C9" s="100" t="s">
        <v>146</v>
      </c>
      <c r="D9" s="100">
        <v>0.21</v>
      </c>
      <c r="E9" s="100">
        <v>0.2</v>
      </c>
      <c r="F9" s="100">
        <v>0.18</v>
      </c>
      <c r="G9" s="100">
        <v>0.17</v>
      </c>
      <c r="H9" s="100">
        <v>0.16</v>
      </c>
      <c r="I9" s="102">
        <v>0.15</v>
      </c>
      <c r="J9" s="100">
        <v>0.1236</v>
      </c>
      <c r="K9" s="103">
        <f t="shared" ref="K9:K17" si="0">I9</f>
        <v>0.15</v>
      </c>
    </row>
    <row r="10" spans="1:11">
      <c r="A10" s="100">
        <v>3</v>
      </c>
      <c r="B10" s="101" t="s">
        <v>147</v>
      </c>
      <c r="C10" s="100" t="s">
        <v>17</v>
      </c>
      <c r="D10" s="100">
        <v>2.15E-3</v>
      </c>
      <c r="E10" s="100">
        <v>2.0999999999999999E-3</v>
      </c>
      <c r="F10" s="100">
        <v>2.0899999999999998E-3</v>
      </c>
      <c r="G10" s="100">
        <v>2.0799999999999998E-3</v>
      </c>
      <c r="H10" s="100">
        <v>2.0699999999999998E-3</v>
      </c>
      <c r="I10" s="102">
        <v>2.0600000000000002E-3</v>
      </c>
      <c r="J10" s="100">
        <v>2.0999999999999999E-3</v>
      </c>
      <c r="K10" s="103">
        <f t="shared" si="0"/>
        <v>2.0600000000000002E-3</v>
      </c>
    </row>
    <row r="11" spans="1:11">
      <c r="A11" s="100">
        <v>4</v>
      </c>
      <c r="B11" s="101" t="s">
        <v>148</v>
      </c>
      <c r="C11" s="100" t="s">
        <v>17</v>
      </c>
      <c r="D11" s="100">
        <v>1.9E-2</v>
      </c>
      <c r="E11" s="100">
        <v>1.7999999999999999E-2</v>
      </c>
      <c r="F11" s="100">
        <v>1.6E-2</v>
      </c>
      <c r="G11" s="100">
        <v>1.4999999999999999E-2</v>
      </c>
      <c r="H11" s="100">
        <v>1.2999999999999999E-2</v>
      </c>
      <c r="I11" s="102">
        <v>1.2E-2</v>
      </c>
      <c r="J11" s="100">
        <v>1.2E-2</v>
      </c>
      <c r="K11" s="103">
        <f t="shared" si="0"/>
        <v>1.2E-2</v>
      </c>
    </row>
    <row r="12" spans="1:11">
      <c r="A12" s="100">
        <v>5</v>
      </c>
      <c r="B12" s="101" t="s">
        <v>149</v>
      </c>
      <c r="C12" s="100" t="s">
        <v>150</v>
      </c>
      <c r="D12" s="100">
        <v>3.5000000000000003E-2</v>
      </c>
      <c r="E12" s="100">
        <v>3.5000000000000003E-2</v>
      </c>
      <c r="F12" s="100">
        <v>3.5000000000000003E-2</v>
      </c>
      <c r="G12" s="100">
        <v>3.5000000000000003E-2</v>
      </c>
      <c r="H12" s="100">
        <v>3.5000000000000003E-2</v>
      </c>
      <c r="I12" s="102">
        <v>3.5000000000000003E-2</v>
      </c>
      <c r="J12" s="100">
        <v>3.5000000000000003E-2</v>
      </c>
      <c r="K12" s="103">
        <f t="shared" si="0"/>
        <v>3.5000000000000003E-2</v>
      </c>
    </row>
    <row r="13" spans="1:11">
      <c r="A13" s="100">
        <v>6</v>
      </c>
      <c r="B13" s="101" t="s">
        <v>151</v>
      </c>
      <c r="C13" s="100" t="s">
        <v>146</v>
      </c>
      <c r="D13" s="100">
        <v>8.0000000000000004E-4</v>
      </c>
      <c r="E13" s="100">
        <v>8.0000000000000004E-4</v>
      </c>
      <c r="F13" s="100">
        <v>8.0000000000000004E-4</v>
      </c>
      <c r="G13" s="100">
        <v>8.0000000000000004E-4</v>
      </c>
      <c r="H13" s="100">
        <v>8.0000000000000004E-4</v>
      </c>
      <c r="I13" s="102">
        <v>8.0000000000000004E-4</v>
      </c>
      <c r="J13" s="100">
        <v>8.0000000000000004E-4</v>
      </c>
      <c r="K13" s="103">
        <f t="shared" si="0"/>
        <v>8.0000000000000004E-4</v>
      </c>
    </row>
    <row r="14" spans="1:11" ht="25.5">
      <c r="A14" s="100">
        <v>7</v>
      </c>
      <c r="B14" s="101" t="s">
        <v>152</v>
      </c>
      <c r="C14" s="100" t="s">
        <v>146</v>
      </c>
      <c r="D14" s="100">
        <v>2E-3</v>
      </c>
      <c r="E14" s="100">
        <v>2E-3</v>
      </c>
      <c r="F14" s="100">
        <v>2E-3</v>
      </c>
      <c r="G14" s="100">
        <v>2E-3</v>
      </c>
      <c r="H14" s="100">
        <v>2E-3</v>
      </c>
      <c r="I14" s="102">
        <v>2E-3</v>
      </c>
      <c r="J14" s="100">
        <v>2E-3</v>
      </c>
      <c r="K14" s="103">
        <f t="shared" si="0"/>
        <v>2E-3</v>
      </c>
    </row>
    <row r="15" spans="1:11">
      <c r="A15" s="100">
        <v>8</v>
      </c>
      <c r="B15" s="101" t="s">
        <v>153</v>
      </c>
      <c r="C15" s="100" t="s">
        <v>146</v>
      </c>
      <c r="D15" s="100">
        <v>0.06</v>
      </c>
      <c r="E15" s="100">
        <v>0.06</v>
      </c>
      <c r="F15" s="100">
        <v>0.06</v>
      </c>
      <c r="G15" s="100">
        <v>0.06</v>
      </c>
      <c r="H15" s="100">
        <v>0.06</v>
      </c>
      <c r="I15" s="102">
        <v>0.06</v>
      </c>
      <c r="J15" s="100">
        <v>0.06</v>
      </c>
      <c r="K15" s="103">
        <f t="shared" si="0"/>
        <v>0.06</v>
      </c>
    </row>
    <row r="16" spans="1:11">
      <c r="A16" s="100">
        <v>9</v>
      </c>
      <c r="B16" s="101" t="s">
        <v>154</v>
      </c>
      <c r="C16" s="100" t="s">
        <v>155</v>
      </c>
      <c r="D16" s="100">
        <v>1E-3</v>
      </c>
      <c r="E16" s="100">
        <v>1E-3</v>
      </c>
      <c r="F16" s="100">
        <v>1E-3</v>
      </c>
      <c r="G16" s="100">
        <v>1E-3</v>
      </c>
      <c r="H16" s="100">
        <v>1E-3</v>
      </c>
      <c r="I16" s="102">
        <v>1E-3</v>
      </c>
      <c r="J16" s="100">
        <v>1E-3</v>
      </c>
      <c r="K16" s="103">
        <f t="shared" si="0"/>
        <v>1E-3</v>
      </c>
    </row>
    <row r="17" spans="1:11">
      <c r="A17" s="100">
        <v>10</v>
      </c>
      <c r="B17" s="101" t="s">
        <v>156</v>
      </c>
      <c r="C17" s="100" t="s">
        <v>155</v>
      </c>
      <c r="D17" s="100">
        <v>1.6000000000000001E-4</v>
      </c>
      <c r="E17" s="100">
        <v>1.6000000000000001E-4</v>
      </c>
      <c r="F17" s="100">
        <v>1.6000000000000001E-4</v>
      </c>
      <c r="G17" s="100">
        <v>1.6000000000000001E-4</v>
      </c>
      <c r="H17" s="100">
        <v>1.6000000000000001E-4</v>
      </c>
      <c r="I17" s="102">
        <v>1.6000000000000001E-4</v>
      </c>
      <c r="J17" s="100">
        <v>1.6000000000000001E-4</v>
      </c>
      <c r="K17" s="103">
        <f t="shared" si="0"/>
        <v>1.6000000000000001E-4</v>
      </c>
    </row>
    <row r="18" spans="1:11" ht="38.25">
      <c r="A18" s="100">
        <v>11</v>
      </c>
      <c r="B18" s="101" t="s">
        <v>157</v>
      </c>
      <c r="C18" s="100" t="s">
        <v>31</v>
      </c>
      <c r="D18" s="100" t="s">
        <v>25</v>
      </c>
      <c r="E18" s="100" t="s">
        <v>25</v>
      </c>
      <c r="F18" s="100" t="s">
        <v>25</v>
      </c>
      <c r="G18" s="100" t="s">
        <v>25</v>
      </c>
      <c r="H18" s="100" t="s">
        <v>25</v>
      </c>
      <c r="I18" s="102" t="s">
        <v>25</v>
      </c>
      <c r="J18" s="100">
        <v>0.16880000000000001</v>
      </c>
      <c r="K18" s="98">
        <v>0</v>
      </c>
    </row>
    <row r="19" spans="1:11" ht="38.25">
      <c r="A19" s="100">
        <v>12</v>
      </c>
      <c r="B19" s="101" t="s">
        <v>158</v>
      </c>
      <c r="C19" s="100" t="s">
        <v>31</v>
      </c>
      <c r="D19" s="100" t="s">
        <v>25</v>
      </c>
      <c r="E19" s="100" t="s">
        <v>25</v>
      </c>
      <c r="F19" s="100" t="s">
        <v>25</v>
      </c>
      <c r="G19" s="100" t="s">
        <v>25</v>
      </c>
      <c r="H19" s="100" t="s">
        <v>25</v>
      </c>
      <c r="I19" s="102" t="s">
        <v>25</v>
      </c>
      <c r="J19" s="100">
        <v>2.5999999999999999E-3</v>
      </c>
      <c r="K19" s="98">
        <v>0</v>
      </c>
    </row>
    <row r="20" spans="1:11">
      <c r="A20" s="100">
        <v>13</v>
      </c>
      <c r="B20" s="101" t="s">
        <v>159</v>
      </c>
      <c r="C20" s="100" t="s">
        <v>31</v>
      </c>
      <c r="D20" s="100" t="s">
        <v>25</v>
      </c>
      <c r="E20" s="100" t="s">
        <v>25</v>
      </c>
      <c r="F20" s="100" t="s">
        <v>25</v>
      </c>
      <c r="G20" s="100" t="s">
        <v>25</v>
      </c>
      <c r="H20" s="100" t="s">
        <v>25</v>
      </c>
      <c r="I20" s="102" t="s">
        <v>25</v>
      </c>
      <c r="J20" s="100">
        <v>1.125</v>
      </c>
      <c r="K20" s="98">
        <v>0</v>
      </c>
    </row>
  </sheetData>
  <mergeCells count="5">
    <mergeCell ref="A4:A5"/>
    <mergeCell ref="B4:B5"/>
    <mergeCell ref="C4:C5"/>
    <mergeCell ref="D4:J4"/>
    <mergeCell ref="K4:K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K4" sqref="K4:K5"/>
    </sheetView>
  </sheetViews>
  <sheetFormatPr defaultRowHeight="14.25"/>
  <cols>
    <col min="1" max="1" width="3.375" bestFit="1" customWidth="1"/>
    <col min="2" max="2" width="27.125" bestFit="1" customWidth="1"/>
    <col min="3" max="3" width="10.875" bestFit="1" customWidth="1"/>
    <col min="4" max="4" width="7.625" bestFit="1" customWidth="1"/>
    <col min="5" max="9" width="9" customWidth="1"/>
    <col min="10" max="10" width="9" hidden="1" customWidth="1"/>
    <col min="11" max="11" width="11.125" bestFit="1" customWidth="1"/>
  </cols>
  <sheetData>
    <row r="1" spans="1:11" ht="25.5">
      <c r="B1" s="27" t="s">
        <v>160</v>
      </c>
    </row>
    <row r="2" spans="1:11" ht="15">
      <c r="B2" s="28" t="s">
        <v>161</v>
      </c>
      <c r="K2" s="92" t="s">
        <v>326</v>
      </c>
    </row>
    <row r="3" spans="1:11" ht="15">
      <c r="D3">
        <v>250</v>
      </c>
      <c r="E3">
        <v>500</v>
      </c>
      <c r="F3">
        <v>750</v>
      </c>
      <c r="G3">
        <v>1000</v>
      </c>
      <c r="H3">
        <v>1250</v>
      </c>
      <c r="I3">
        <v>1500</v>
      </c>
      <c r="J3" s="60">
        <v>1755</v>
      </c>
      <c r="K3" s="93" t="s">
        <v>327</v>
      </c>
    </row>
    <row r="4" spans="1:11">
      <c r="A4" s="762" t="s">
        <v>19</v>
      </c>
      <c r="B4" s="762" t="s">
        <v>32</v>
      </c>
      <c r="C4" s="762" t="s">
        <v>162</v>
      </c>
      <c r="D4" s="762" t="s">
        <v>163</v>
      </c>
      <c r="E4" s="762"/>
      <c r="F4" s="762"/>
      <c r="G4" s="762"/>
      <c r="H4" s="762"/>
      <c r="I4" s="762"/>
      <c r="J4" s="49"/>
      <c r="K4" s="763" t="s">
        <v>328</v>
      </c>
    </row>
    <row r="5" spans="1:11">
      <c r="A5" s="762"/>
      <c r="B5" s="762"/>
      <c r="C5" s="762"/>
      <c r="D5" s="41" t="s">
        <v>59</v>
      </c>
      <c r="E5" s="41" t="s">
        <v>60</v>
      </c>
      <c r="F5" s="41" t="s">
        <v>61</v>
      </c>
      <c r="G5" s="41" t="s">
        <v>62</v>
      </c>
      <c r="H5" s="41" t="s">
        <v>63</v>
      </c>
      <c r="I5" s="41" t="s">
        <v>64</v>
      </c>
      <c r="J5" s="49"/>
      <c r="K5" s="764"/>
    </row>
    <row r="6" spans="1:11" ht="25.5">
      <c r="A6" s="41" t="s">
        <v>2</v>
      </c>
      <c r="B6" s="94" t="s">
        <v>66</v>
      </c>
      <c r="C6" s="43"/>
      <c r="D6" s="43"/>
      <c r="E6" s="43"/>
      <c r="F6" s="43"/>
      <c r="G6" s="43"/>
      <c r="H6" s="43"/>
      <c r="I6" s="43"/>
      <c r="J6" s="49"/>
      <c r="K6" s="49"/>
    </row>
    <row r="7" spans="1:11">
      <c r="A7" s="42">
        <v>1</v>
      </c>
      <c r="B7" s="43" t="s">
        <v>90</v>
      </c>
      <c r="C7" s="42" t="s">
        <v>33</v>
      </c>
      <c r="D7" s="42">
        <v>1.9000000000000001E-4</v>
      </c>
      <c r="E7" s="42">
        <v>6.0000000000000002E-5</v>
      </c>
      <c r="F7" s="42">
        <v>8.0000000000000007E-5</v>
      </c>
      <c r="G7" s="42">
        <v>6.0000000000000002E-5</v>
      </c>
      <c r="H7" s="42">
        <v>4.0000000000000003E-5</v>
      </c>
      <c r="I7" s="42">
        <v>4.0000000000000003E-5</v>
      </c>
      <c r="J7" s="41">
        <f>FORECAST($J$3,H7:I7,$H$3:$I$3)</f>
        <v>4.0000000000000003E-5</v>
      </c>
      <c r="K7" s="95">
        <f>I7</f>
        <v>4.0000000000000003E-5</v>
      </c>
    </row>
    <row r="8" spans="1:11" ht="15">
      <c r="A8" s="41" t="s">
        <v>16</v>
      </c>
      <c r="B8" s="94" t="s">
        <v>73</v>
      </c>
      <c r="C8" s="43"/>
      <c r="D8" s="43"/>
      <c r="E8" s="43"/>
      <c r="F8" s="43"/>
      <c r="G8" s="43"/>
      <c r="H8" s="43"/>
      <c r="I8" s="43"/>
      <c r="J8" s="41"/>
      <c r="K8" s="96"/>
    </row>
    <row r="9" spans="1:11">
      <c r="A9" s="42">
        <v>2</v>
      </c>
      <c r="B9" s="43" t="s">
        <v>92</v>
      </c>
      <c r="C9" s="42" t="s">
        <v>33</v>
      </c>
      <c r="D9" s="42">
        <v>0.64</v>
      </c>
      <c r="E9" s="42">
        <v>0.216</v>
      </c>
      <c r="F9" s="42">
        <v>0.25600000000000001</v>
      </c>
      <c r="G9" s="42">
        <v>0.184</v>
      </c>
      <c r="H9" s="42">
        <v>0.14399999999999999</v>
      </c>
      <c r="I9" s="42">
        <v>0.12</v>
      </c>
      <c r="J9" s="41">
        <f>FORECAST($J$3,H9:I9,$H$3:$I$3)</f>
        <v>9.5520000000000049E-2</v>
      </c>
      <c r="K9" s="97">
        <f>I9</f>
        <v>0.12</v>
      </c>
    </row>
    <row r="10" spans="1:11">
      <c r="A10" s="42">
        <v>3</v>
      </c>
      <c r="B10" s="43" t="s">
        <v>164</v>
      </c>
      <c r="C10" s="42" t="s">
        <v>33</v>
      </c>
      <c r="D10" s="42">
        <v>3.2000000000000001E-2</v>
      </c>
      <c r="E10" s="42">
        <v>2.8000000000000001E-2</v>
      </c>
      <c r="F10" s="42">
        <v>2.4E-2</v>
      </c>
      <c r="G10" s="42">
        <v>0.02</v>
      </c>
      <c r="H10" s="42">
        <v>0.1</v>
      </c>
      <c r="I10" s="42">
        <v>8.4000000000000005E-2</v>
      </c>
      <c r="J10" s="41">
        <f>FORECAST($J$3,H10:I10,$H$3:$I$3)</f>
        <v>6.7680000000000004E-2</v>
      </c>
      <c r="K10" s="97">
        <f t="shared" ref="K10:K12" si="0">I10</f>
        <v>8.4000000000000005E-2</v>
      </c>
    </row>
    <row r="11" spans="1:11">
      <c r="A11" s="42">
        <v>4</v>
      </c>
      <c r="B11" s="43" t="s">
        <v>165</v>
      </c>
      <c r="C11" s="42" t="s">
        <v>33</v>
      </c>
      <c r="D11" s="42">
        <v>0.15</v>
      </c>
      <c r="E11" s="42">
        <v>0.15</v>
      </c>
      <c r="F11" s="42">
        <v>0.15</v>
      </c>
      <c r="G11" s="42">
        <v>0.15</v>
      </c>
      <c r="H11" s="42">
        <v>0.09</v>
      </c>
      <c r="I11" s="42">
        <v>0.06</v>
      </c>
      <c r="J11" s="41">
        <f>FORECAST($J$3,H11:I11,$H$3:$I$3)</f>
        <v>2.9399999999999982E-2</v>
      </c>
      <c r="K11" s="97">
        <f t="shared" si="0"/>
        <v>0.06</v>
      </c>
    </row>
    <row r="12" spans="1:11">
      <c r="A12" s="42">
        <v>5</v>
      </c>
      <c r="B12" s="43" t="s">
        <v>166</v>
      </c>
      <c r="C12" s="42" t="s">
        <v>33</v>
      </c>
      <c r="D12" s="42">
        <v>0.17599999999999999</v>
      </c>
      <c r="E12" s="42">
        <v>0.17599999999999999</v>
      </c>
      <c r="F12" s="42">
        <v>0.17599999999999999</v>
      </c>
      <c r="G12" s="42">
        <v>0.17599999999999999</v>
      </c>
      <c r="H12" s="42">
        <v>0.26400000000000001</v>
      </c>
      <c r="I12" s="42">
        <v>0.26400000000000001</v>
      </c>
      <c r="J12" s="41">
        <f>FORECAST($J$3,H12:I12,$H$3:$I$3)</f>
        <v>0.26400000000000001</v>
      </c>
      <c r="K12" s="97">
        <f t="shared" si="0"/>
        <v>0.26400000000000001</v>
      </c>
    </row>
  </sheetData>
  <mergeCells count="5">
    <mergeCell ref="A4:A5"/>
    <mergeCell ref="B4:B5"/>
    <mergeCell ref="C4:C5"/>
    <mergeCell ref="D4:I4"/>
    <mergeCell ref="K4:K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M17" sqref="M17"/>
    </sheetView>
  </sheetViews>
  <sheetFormatPr defaultRowHeight="14.25"/>
  <cols>
    <col min="1" max="1" width="3.375" bestFit="1" customWidth="1"/>
    <col min="2" max="2" width="28.5" bestFit="1" customWidth="1"/>
    <col min="3" max="3" width="6.875" bestFit="1" customWidth="1"/>
    <col min="4" max="10" width="6.625" bestFit="1" customWidth="1"/>
    <col min="11" max="11" width="14.375" customWidth="1"/>
  </cols>
  <sheetData>
    <row r="1" spans="1:11">
      <c r="B1" s="27" t="s">
        <v>167</v>
      </c>
    </row>
    <row r="2" spans="1:11" ht="15">
      <c r="B2" s="28" t="s">
        <v>168</v>
      </c>
      <c r="K2" s="92" t="s">
        <v>326</v>
      </c>
    </row>
    <row r="3" spans="1:11" ht="15">
      <c r="D3">
        <v>250</v>
      </c>
      <c r="E3">
        <v>500</v>
      </c>
      <c r="F3">
        <v>750</v>
      </c>
      <c r="G3">
        <v>1000</v>
      </c>
      <c r="H3">
        <v>1250</v>
      </c>
      <c r="I3">
        <v>1500</v>
      </c>
      <c r="K3" s="93" t="s">
        <v>327</v>
      </c>
    </row>
    <row r="4" spans="1:11">
      <c r="A4" s="751" t="s">
        <v>19</v>
      </c>
      <c r="B4" s="751" t="s">
        <v>169</v>
      </c>
      <c r="C4" s="751" t="s">
        <v>27</v>
      </c>
      <c r="D4" s="751" t="s">
        <v>170</v>
      </c>
      <c r="E4" s="751"/>
      <c r="F4" s="751"/>
      <c r="G4" s="751"/>
      <c r="H4" s="751"/>
      <c r="I4" s="751"/>
      <c r="J4" s="751"/>
      <c r="K4" s="761" t="s">
        <v>328</v>
      </c>
    </row>
    <row r="5" spans="1:11">
      <c r="A5" s="751"/>
      <c r="B5" s="751"/>
      <c r="C5" s="751"/>
      <c r="D5" s="98" t="s">
        <v>59</v>
      </c>
      <c r="E5" s="98" t="s">
        <v>60</v>
      </c>
      <c r="F5" s="98" t="s">
        <v>61</v>
      </c>
      <c r="G5" s="98" t="s">
        <v>62</v>
      </c>
      <c r="H5" s="98" t="s">
        <v>63</v>
      </c>
      <c r="I5" s="99" t="s">
        <v>64</v>
      </c>
      <c r="J5" s="98" t="s">
        <v>65</v>
      </c>
      <c r="K5" s="761"/>
    </row>
    <row r="6" spans="1:11" ht="30.75" customHeight="1">
      <c r="A6" s="100">
        <v>1</v>
      </c>
      <c r="B6" s="101" t="s">
        <v>171</v>
      </c>
      <c r="C6" s="100" t="s">
        <v>17</v>
      </c>
      <c r="D6" s="100">
        <v>0.52500000000000002</v>
      </c>
      <c r="E6" s="100">
        <v>0.5</v>
      </c>
      <c r="F6" s="100">
        <v>0.47099999999999997</v>
      </c>
      <c r="G6" s="100">
        <v>0.44600000000000001</v>
      </c>
      <c r="H6" s="100">
        <v>0.48399999999999999</v>
      </c>
      <c r="I6" s="102">
        <v>0.46100000000000002</v>
      </c>
      <c r="J6" s="100">
        <v>0.47799999999999998</v>
      </c>
      <c r="K6" s="103">
        <f>I6</f>
        <v>0.46100000000000002</v>
      </c>
    </row>
    <row r="7" spans="1:11" ht="30.75" customHeight="1">
      <c r="A7" s="100">
        <v>2</v>
      </c>
      <c r="B7" s="101" t="s">
        <v>172</v>
      </c>
      <c r="C7" s="100" t="s">
        <v>17</v>
      </c>
      <c r="D7" s="100">
        <v>3.7000000000000002E-3</v>
      </c>
      <c r="E7" s="100">
        <v>3.5999999999999999E-3</v>
      </c>
      <c r="F7" s="100">
        <v>3.5000000000000001E-3</v>
      </c>
      <c r="G7" s="100">
        <v>3.5000000000000001E-3</v>
      </c>
      <c r="H7" s="100">
        <v>6.8999999999999999E-3</v>
      </c>
      <c r="I7" s="102">
        <v>6.4000000000000003E-3</v>
      </c>
      <c r="J7" s="100">
        <v>9.9000000000000008E-3</v>
      </c>
      <c r="K7" s="103">
        <f>I7</f>
        <v>6.4000000000000003E-3</v>
      </c>
    </row>
    <row r="8" spans="1:11" ht="30.75" customHeight="1"/>
  </sheetData>
  <mergeCells count="5">
    <mergeCell ref="A4:A5"/>
    <mergeCell ref="B4:B5"/>
    <mergeCell ref="C4:C5"/>
    <mergeCell ref="D4:J4"/>
    <mergeCell ref="K4:K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110" zoomScaleNormal="110" workbookViewId="0">
      <selection activeCell="D17" sqref="D17"/>
    </sheetView>
  </sheetViews>
  <sheetFormatPr defaultColWidth="7.5" defaultRowHeight="10.5"/>
  <cols>
    <col min="1" max="1" width="7.375" style="1" customWidth="1"/>
    <col min="2" max="2" width="39.75" style="1" customWidth="1"/>
    <col min="3" max="4" width="15.375" style="1" customWidth="1"/>
    <col min="5" max="5" width="41.875" style="1" customWidth="1"/>
    <col min="6" max="247" width="7.5" style="1"/>
    <col min="248" max="248" width="4.5" style="1" bestFit="1" customWidth="1"/>
    <col min="249" max="249" width="9.5" style="1" customWidth="1"/>
    <col min="250" max="250" width="36.375" style="1" customWidth="1"/>
    <col min="251" max="251" width="8.75" style="1" customWidth="1"/>
    <col min="252" max="252" width="11.375" style="1" customWidth="1"/>
    <col min="253" max="253" width="14.5" style="1" customWidth="1"/>
    <col min="254" max="254" width="6.875" style="1" customWidth="1"/>
    <col min="255" max="255" width="6.375" style="1" customWidth="1"/>
    <col min="256" max="256" width="11.875" style="1" customWidth="1"/>
    <col min="257" max="258" width="25" style="1" customWidth="1"/>
    <col min="259" max="503" width="7.5" style="1"/>
    <col min="504" max="504" width="4.5" style="1" bestFit="1" customWidth="1"/>
    <col min="505" max="505" width="9.5" style="1" customWidth="1"/>
    <col min="506" max="506" width="36.375" style="1" customWidth="1"/>
    <col min="507" max="507" width="8.75" style="1" customWidth="1"/>
    <col min="508" max="508" width="11.375" style="1" customWidth="1"/>
    <col min="509" max="509" width="14.5" style="1" customWidth="1"/>
    <col min="510" max="510" width="6.875" style="1" customWidth="1"/>
    <col min="511" max="511" width="6.375" style="1" customWidth="1"/>
    <col min="512" max="512" width="11.875" style="1" customWidth="1"/>
    <col min="513" max="514" width="25" style="1" customWidth="1"/>
    <col min="515" max="759" width="7.5" style="1"/>
    <col min="760" max="760" width="4.5" style="1" bestFit="1" customWidth="1"/>
    <col min="761" max="761" width="9.5" style="1" customWidth="1"/>
    <col min="762" max="762" width="36.375" style="1" customWidth="1"/>
    <col min="763" max="763" width="8.75" style="1" customWidth="1"/>
    <col min="764" max="764" width="11.375" style="1" customWidth="1"/>
    <col min="765" max="765" width="14.5" style="1" customWidth="1"/>
    <col min="766" max="766" width="6.875" style="1" customWidth="1"/>
    <col min="767" max="767" width="6.375" style="1" customWidth="1"/>
    <col min="768" max="768" width="11.875" style="1" customWidth="1"/>
    <col min="769" max="770" width="25" style="1" customWidth="1"/>
    <col min="771" max="1015" width="7.5" style="1"/>
    <col min="1016" max="1016" width="4.5" style="1" bestFit="1" customWidth="1"/>
    <col min="1017" max="1017" width="9.5" style="1" customWidth="1"/>
    <col min="1018" max="1018" width="36.375" style="1" customWidth="1"/>
    <col min="1019" max="1019" width="8.75" style="1" customWidth="1"/>
    <col min="1020" max="1020" width="11.375" style="1" customWidth="1"/>
    <col min="1021" max="1021" width="14.5" style="1" customWidth="1"/>
    <col min="1022" max="1022" width="6.875" style="1" customWidth="1"/>
    <col min="1023" max="1023" width="6.375" style="1" customWidth="1"/>
    <col min="1024" max="1024" width="11.875" style="1" customWidth="1"/>
    <col min="1025" max="1026" width="25" style="1" customWidth="1"/>
    <col min="1027" max="1271" width="7.5" style="1"/>
    <col min="1272" max="1272" width="4.5" style="1" bestFit="1" customWidth="1"/>
    <col min="1273" max="1273" width="9.5" style="1" customWidth="1"/>
    <col min="1274" max="1274" width="36.375" style="1" customWidth="1"/>
    <col min="1275" max="1275" width="8.75" style="1" customWidth="1"/>
    <col min="1276" max="1276" width="11.375" style="1" customWidth="1"/>
    <col min="1277" max="1277" width="14.5" style="1" customWidth="1"/>
    <col min="1278" max="1278" width="6.875" style="1" customWidth="1"/>
    <col min="1279" max="1279" width="6.375" style="1" customWidth="1"/>
    <col min="1280" max="1280" width="11.875" style="1" customWidth="1"/>
    <col min="1281" max="1282" width="25" style="1" customWidth="1"/>
    <col min="1283" max="1527" width="7.5" style="1"/>
    <col min="1528" max="1528" width="4.5" style="1" bestFit="1" customWidth="1"/>
    <col min="1529" max="1529" width="9.5" style="1" customWidth="1"/>
    <col min="1530" max="1530" width="36.375" style="1" customWidth="1"/>
    <col min="1531" max="1531" width="8.75" style="1" customWidth="1"/>
    <col min="1532" max="1532" width="11.375" style="1" customWidth="1"/>
    <col min="1533" max="1533" width="14.5" style="1" customWidth="1"/>
    <col min="1534" max="1534" width="6.875" style="1" customWidth="1"/>
    <col min="1535" max="1535" width="6.375" style="1" customWidth="1"/>
    <col min="1536" max="1536" width="11.875" style="1" customWidth="1"/>
    <col min="1537" max="1538" width="25" style="1" customWidth="1"/>
    <col min="1539" max="1783" width="7.5" style="1"/>
    <col min="1784" max="1784" width="4.5" style="1" bestFit="1" customWidth="1"/>
    <col min="1785" max="1785" width="9.5" style="1" customWidth="1"/>
    <col min="1786" max="1786" width="36.375" style="1" customWidth="1"/>
    <col min="1787" max="1787" width="8.75" style="1" customWidth="1"/>
    <col min="1788" max="1788" width="11.375" style="1" customWidth="1"/>
    <col min="1789" max="1789" width="14.5" style="1" customWidth="1"/>
    <col min="1790" max="1790" width="6.875" style="1" customWidth="1"/>
    <col min="1791" max="1791" width="6.375" style="1" customWidth="1"/>
    <col min="1792" max="1792" width="11.875" style="1" customWidth="1"/>
    <col min="1793" max="1794" width="25" style="1" customWidth="1"/>
    <col min="1795" max="2039" width="7.5" style="1"/>
    <col min="2040" max="2040" width="4.5" style="1" bestFit="1" customWidth="1"/>
    <col min="2041" max="2041" width="9.5" style="1" customWidth="1"/>
    <col min="2042" max="2042" width="36.375" style="1" customWidth="1"/>
    <col min="2043" max="2043" width="8.75" style="1" customWidth="1"/>
    <col min="2044" max="2044" width="11.375" style="1" customWidth="1"/>
    <col min="2045" max="2045" width="14.5" style="1" customWidth="1"/>
    <col min="2046" max="2046" width="6.875" style="1" customWidth="1"/>
    <col min="2047" max="2047" width="6.375" style="1" customWidth="1"/>
    <col min="2048" max="2048" width="11.875" style="1" customWidth="1"/>
    <col min="2049" max="2050" width="25" style="1" customWidth="1"/>
    <col min="2051" max="2295" width="7.5" style="1"/>
    <col min="2296" max="2296" width="4.5" style="1" bestFit="1" customWidth="1"/>
    <col min="2297" max="2297" width="9.5" style="1" customWidth="1"/>
    <col min="2298" max="2298" width="36.375" style="1" customWidth="1"/>
    <col min="2299" max="2299" width="8.75" style="1" customWidth="1"/>
    <col min="2300" max="2300" width="11.375" style="1" customWidth="1"/>
    <col min="2301" max="2301" width="14.5" style="1" customWidth="1"/>
    <col min="2302" max="2302" width="6.875" style="1" customWidth="1"/>
    <col min="2303" max="2303" width="6.375" style="1" customWidth="1"/>
    <col min="2304" max="2304" width="11.875" style="1" customWidth="1"/>
    <col min="2305" max="2306" width="25" style="1" customWidth="1"/>
    <col min="2307" max="2551" width="7.5" style="1"/>
    <col min="2552" max="2552" width="4.5" style="1" bestFit="1" customWidth="1"/>
    <col min="2553" max="2553" width="9.5" style="1" customWidth="1"/>
    <col min="2554" max="2554" width="36.375" style="1" customWidth="1"/>
    <col min="2555" max="2555" width="8.75" style="1" customWidth="1"/>
    <col min="2556" max="2556" width="11.375" style="1" customWidth="1"/>
    <col min="2557" max="2557" width="14.5" style="1" customWidth="1"/>
    <col min="2558" max="2558" width="6.875" style="1" customWidth="1"/>
    <col min="2559" max="2559" width="6.375" style="1" customWidth="1"/>
    <col min="2560" max="2560" width="11.875" style="1" customWidth="1"/>
    <col min="2561" max="2562" width="25" style="1" customWidth="1"/>
    <col min="2563" max="2807" width="7.5" style="1"/>
    <col min="2808" max="2808" width="4.5" style="1" bestFit="1" customWidth="1"/>
    <col min="2809" max="2809" width="9.5" style="1" customWidth="1"/>
    <col min="2810" max="2810" width="36.375" style="1" customWidth="1"/>
    <col min="2811" max="2811" width="8.75" style="1" customWidth="1"/>
    <col min="2812" max="2812" width="11.375" style="1" customWidth="1"/>
    <col min="2813" max="2813" width="14.5" style="1" customWidth="1"/>
    <col min="2814" max="2814" width="6.875" style="1" customWidth="1"/>
    <col min="2815" max="2815" width="6.375" style="1" customWidth="1"/>
    <col min="2816" max="2816" width="11.875" style="1" customWidth="1"/>
    <col min="2817" max="2818" width="25" style="1" customWidth="1"/>
    <col min="2819" max="3063" width="7.5" style="1"/>
    <col min="3064" max="3064" width="4.5" style="1" bestFit="1" customWidth="1"/>
    <col min="3065" max="3065" width="9.5" style="1" customWidth="1"/>
    <col min="3066" max="3066" width="36.375" style="1" customWidth="1"/>
    <col min="3067" max="3067" width="8.75" style="1" customWidth="1"/>
    <col min="3068" max="3068" width="11.375" style="1" customWidth="1"/>
    <col min="3069" max="3069" width="14.5" style="1" customWidth="1"/>
    <col min="3070" max="3070" width="6.875" style="1" customWidth="1"/>
    <col min="3071" max="3071" width="6.375" style="1" customWidth="1"/>
    <col min="3072" max="3072" width="11.875" style="1" customWidth="1"/>
    <col min="3073" max="3074" width="25" style="1" customWidth="1"/>
    <col min="3075" max="3319" width="7.5" style="1"/>
    <col min="3320" max="3320" width="4.5" style="1" bestFit="1" customWidth="1"/>
    <col min="3321" max="3321" width="9.5" style="1" customWidth="1"/>
    <col min="3322" max="3322" width="36.375" style="1" customWidth="1"/>
    <col min="3323" max="3323" width="8.75" style="1" customWidth="1"/>
    <col min="3324" max="3324" width="11.375" style="1" customWidth="1"/>
    <col min="3325" max="3325" width="14.5" style="1" customWidth="1"/>
    <col min="3326" max="3326" width="6.875" style="1" customWidth="1"/>
    <col min="3327" max="3327" width="6.375" style="1" customWidth="1"/>
    <col min="3328" max="3328" width="11.875" style="1" customWidth="1"/>
    <col min="3329" max="3330" width="25" style="1" customWidth="1"/>
    <col min="3331" max="3575" width="7.5" style="1"/>
    <col min="3576" max="3576" width="4.5" style="1" bestFit="1" customWidth="1"/>
    <col min="3577" max="3577" width="9.5" style="1" customWidth="1"/>
    <col min="3578" max="3578" width="36.375" style="1" customWidth="1"/>
    <col min="3579" max="3579" width="8.75" style="1" customWidth="1"/>
    <col min="3580" max="3580" width="11.375" style="1" customWidth="1"/>
    <col min="3581" max="3581" width="14.5" style="1" customWidth="1"/>
    <col min="3582" max="3582" width="6.875" style="1" customWidth="1"/>
    <col min="3583" max="3583" width="6.375" style="1" customWidth="1"/>
    <col min="3584" max="3584" width="11.875" style="1" customWidth="1"/>
    <col min="3585" max="3586" width="25" style="1" customWidth="1"/>
    <col min="3587" max="3831" width="7.5" style="1"/>
    <col min="3832" max="3832" width="4.5" style="1" bestFit="1" customWidth="1"/>
    <col min="3833" max="3833" width="9.5" style="1" customWidth="1"/>
    <col min="3834" max="3834" width="36.375" style="1" customWidth="1"/>
    <col min="3835" max="3835" width="8.75" style="1" customWidth="1"/>
    <col min="3836" max="3836" width="11.375" style="1" customWidth="1"/>
    <col min="3837" max="3837" width="14.5" style="1" customWidth="1"/>
    <col min="3838" max="3838" width="6.875" style="1" customWidth="1"/>
    <col min="3839" max="3839" width="6.375" style="1" customWidth="1"/>
    <col min="3840" max="3840" width="11.875" style="1" customWidth="1"/>
    <col min="3841" max="3842" width="25" style="1" customWidth="1"/>
    <col min="3843" max="4087" width="7.5" style="1"/>
    <col min="4088" max="4088" width="4.5" style="1" bestFit="1" customWidth="1"/>
    <col min="4089" max="4089" width="9.5" style="1" customWidth="1"/>
    <col min="4090" max="4090" width="36.375" style="1" customWidth="1"/>
    <col min="4091" max="4091" width="8.75" style="1" customWidth="1"/>
    <col min="4092" max="4092" width="11.375" style="1" customWidth="1"/>
    <col min="4093" max="4093" width="14.5" style="1" customWidth="1"/>
    <col min="4094" max="4094" width="6.875" style="1" customWidth="1"/>
    <col min="4095" max="4095" width="6.375" style="1" customWidth="1"/>
    <col min="4096" max="4096" width="11.875" style="1" customWidth="1"/>
    <col min="4097" max="4098" width="25" style="1" customWidth="1"/>
    <col min="4099" max="4343" width="7.5" style="1"/>
    <col min="4344" max="4344" width="4.5" style="1" bestFit="1" customWidth="1"/>
    <col min="4345" max="4345" width="9.5" style="1" customWidth="1"/>
    <col min="4346" max="4346" width="36.375" style="1" customWidth="1"/>
    <col min="4347" max="4347" width="8.75" style="1" customWidth="1"/>
    <col min="4348" max="4348" width="11.375" style="1" customWidth="1"/>
    <col min="4349" max="4349" width="14.5" style="1" customWidth="1"/>
    <col min="4350" max="4350" width="6.875" style="1" customWidth="1"/>
    <col min="4351" max="4351" width="6.375" style="1" customWidth="1"/>
    <col min="4352" max="4352" width="11.875" style="1" customWidth="1"/>
    <col min="4353" max="4354" width="25" style="1" customWidth="1"/>
    <col min="4355" max="4599" width="7.5" style="1"/>
    <col min="4600" max="4600" width="4.5" style="1" bestFit="1" customWidth="1"/>
    <col min="4601" max="4601" width="9.5" style="1" customWidth="1"/>
    <col min="4602" max="4602" width="36.375" style="1" customWidth="1"/>
    <col min="4603" max="4603" width="8.75" style="1" customWidth="1"/>
    <col min="4604" max="4604" width="11.375" style="1" customWidth="1"/>
    <col min="4605" max="4605" width="14.5" style="1" customWidth="1"/>
    <col min="4606" max="4606" width="6.875" style="1" customWidth="1"/>
    <col min="4607" max="4607" width="6.375" style="1" customWidth="1"/>
    <col min="4608" max="4608" width="11.875" style="1" customWidth="1"/>
    <col min="4609" max="4610" width="25" style="1" customWidth="1"/>
    <col min="4611" max="4855" width="7.5" style="1"/>
    <col min="4856" max="4856" width="4.5" style="1" bestFit="1" customWidth="1"/>
    <col min="4857" max="4857" width="9.5" style="1" customWidth="1"/>
    <col min="4858" max="4858" width="36.375" style="1" customWidth="1"/>
    <col min="4859" max="4859" width="8.75" style="1" customWidth="1"/>
    <col min="4860" max="4860" width="11.375" style="1" customWidth="1"/>
    <col min="4861" max="4861" width="14.5" style="1" customWidth="1"/>
    <col min="4862" max="4862" width="6.875" style="1" customWidth="1"/>
    <col min="4863" max="4863" width="6.375" style="1" customWidth="1"/>
    <col min="4864" max="4864" width="11.875" style="1" customWidth="1"/>
    <col min="4865" max="4866" width="25" style="1" customWidth="1"/>
    <col min="4867" max="5111" width="7.5" style="1"/>
    <col min="5112" max="5112" width="4.5" style="1" bestFit="1" customWidth="1"/>
    <col min="5113" max="5113" width="9.5" style="1" customWidth="1"/>
    <col min="5114" max="5114" width="36.375" style="1" customWidth="1"/>
    <col min="5115" max="5115" width="8.75" style="1" customWidth="1"/>
    <col min="5116" max="5116" width="11.375" style="1" customWidth="1"/>
    <col min="5117" max="5117" width="14.5" style="1" customWidth="1"/>
    <col min="5118" max="5118" width="6.875" style="1" customWidth="1"/>
    <col min="5119" max="5119" width="6.375" style="1" customWidth="1"/>
    <col min="5120" max="5120" width="11.875" style="1" customWidth="1"/>
    <col min="5121" max="5122" width="25" style="1" customWidth="1"/>
    <col min="5123" max="5367" width="7.5" style="1"/>
    <col min="5368" max="5368" width="4.5" style="1" bestFit="1" customWidth="1"/>
    <col min="5369" max="5369" width="9.5" style="1" customWidth="1"/>
    <col min="5370" max="5370" width="36.375" style="1" customWidth="1"/>
    <col min="5371" max="5371" width="8.75" style="1" customWidth="1"/>
    <col min="5372" max="5372" width="11.375" style="1" customWidth="1"/>
    <col min="5373" max="5373" width="14.5" style="1" customWidth="1"/>
    <col min="5374" max="5374" width="6.875" style="1" customWidth="1"/>
    <col min="5375" max="5375" width="6.375" style="1" customWidth="1"/>
    <col min="5376" max="5376" width="11.875" style="1" customWidth="1"/>
    <col min="5377" max="5378" width="25" style="1" customWidth="1"/>
    <col min="5379" max="5623" width="7.5" style="1"/>
    <col min="5624" max="5624" width="4.5" style="1" bestFit="1" customWidth="1"/>
    <col min="5625" max="5625" width="9.5" style="1" customWidth="1"/>
    <col min="5626" max="5626" width="36.375" style="1" customWidth="1"/>
    <col min="5627" max="5627" width="8.75" style="1" customWidth="1"/>
    <col min="5628" max="5628" width="11.375" style="1" customWidth="1"/>
    <col min="5629" max="5629" width="14.5" style="1" customWidth="1"/>
    <col min="5630" max="5630" width="6.875" style="1" customWidth="1"/>
    <col min="5631" max="5631" width="6.375" style="1" customWidth="1"/>
    <col min="5632" max="5632" width="11.875" style="1" customWidth="1"/>
    <col min="5633" max="5634" width="25" style="1" customWidth="1"/>
    <col min="5635" max="5879" width="7.5" style="1"/>
    <col min="5880" max="5880" width="4.5" style="1" bestFit="1" customWidth="1"/>
    <col min="5881" max="5881" width="9.5" style="1" customWidth="1"/>
    <col min="5882" max="5882" width="36.375" style="1" customWidth="1"/>
    <col min="5883" max="5883" width="8.75" style="1" customWidth="1"/>
    <col min="5884" max="5884" width="11.375" style="1" customWidth="1"/>
    <col min="5885" max="5885" width="14.5" style="1" customWidth="1"/>
    <col min="5886" max="5886" width="6.875" style="1" customWidth="1"/>
    <col min="5887" max="5887" width="6.375" style="1" customWidth="1"/>
    <col min="5888" max="5888" width="11.875" style="1" customWidth="1"/>
    <col min="5889" max="5890" width="25" style="1" customWidth="1"/>
    <col min="5891" max="6135" width="7.5" style="1"/>
    <col min="6136" max="6136" width="4.5" style="1" bestFit="1" customWidth="1"/>
    <col min="6137" max="6137" width="9.5" style="1" customWidth="1"/>
    <col min="6138" max="6138" width="36.375" style="1" customWidth="1"/>
    <col min="6139" max="6139" width="8.75" style="1" customWidth="1"/>
    <col min="6140" max="6140" width="11.375" style="1" customWidth="1"/>
    <col min="6141" max="6141" width="14.5" style="1" customWidth="1"/>
    <col min="6142" max="6142" width="6.875" style="1" customWidth="1"/>
    <col min="6143" max="6143" width="6.375" style="1" customWidth="1"/>
    <col min="6144" max="6144" width="11.875" style="1" customWidth="1"/>
    <col min="6145" max="6146" width="25" style="1" customWidth="1"/>
    <col min="6147" max="6391" width="7.5" style="1"/>
    <col min="6392" max="6392" width="4.5" style="1" bestFit="1" customWidth="1"/>
    <col min="6393" max="6393" width="9.5" style="1" customWidth="1"/>
    <col min="6394" max="6394" width="36.375" style="1" customWidth="1"/>
    <col min="6395" max="6395" width="8.75" style="1" customWidth="1"/>
    <col min="6396" max="6396" width="11.375" style="1" customWidth="1"/>
    <col min="6397" max="6397" width="14.5" style="1" customWidth="1"/>
    <col min="6398" max="6398" width="6.875" style="1" customWidth="1"/>
    <col min="6399" max="6399" width="6.375" style="1" customWidth="1"/>
    <col min="6400" max="6400" width="11.875" style="1" customWidth="1"/>
    <col min="6401" max="6402" width="25" style="1" customWidth="1"/>
    <col min="6403" max="6647" width="7.5" style="1"/>
    <col min="6648" max="6648" width="4.5" style="1" bestFit="1" customWidth="1"/>
    <col min="6649" max="6649" width="9.5" style="1" customWidth="1"/>
    <col min="6650" max="6650" width="36.375" style="1" customWidth="1"/>
    <col min="6651" max="6651" width="8.75" style="1" customWidth="1"/>
    <col min="6652" max="6652" width="11.375" style="1" customWidth="1"/>
    <col min="6653" max="6653" width="14.5" style="1" customWidth="1"/>
    <col min="6654" max="6654" width="6.875" style="1" customWidth="1"/>
    <col min="6655" max="6655" width="6.375" style="1" customWidth="1"/>
    <col min="6656" max="6656" width="11.875" style="1" customWidth="1"/>
    <col min="6657" max="6658" width="25" style="1" customWidth="1"/>
    <col min="6659" max="6903" width="7.5" style="1"/>
    <col min="6904" max="6904" width="4.5" style="1" bestFit="1" customWidth="1"/>
    <col min="6905" max="6905" width="9.5" style="1" customWidth="1"/>
    <col min="6906" max="6906" width="36.375" style="1" customWidth="1"/>
    <col min="6907" max="6907" width="8.75" style="1" customWidth="1"/>
    <col min="6908" max="6908" width="11.375" style="1" customWidth="1"/>
    <col min="6909" max="6909" width="14.5" style="1" customWidth="1"/>
    <col min="6910" max="6910" width="6.875" style="1" customWidth="1"/>
    <col min="6911" max="6911" width="6.375" style="1" customWidth="1"/>
    <col min="6912" max="6912" width="11.875" style="1" customWidth="1"/>
    <col min="6913" max="6914" width="25" style="1" customWidth="1"/>
    <col min="6915" max="7159" width="7.5" style="1"/>
    <col min="7160" max="7160" width="4.5" style="1" bestFit="1" customWidth="1"/>
    <col min="7161" max="7161" width="9.5" style="1" customWidth="1"/>
    <col min="7162" max="7162" width="36.375" style="1" customWidth="1"/>
    <col min="7163" max="7163" width="8.75" style="1" customWidth="1"/>
    <col min="7164" max="7164" width="11.375" style="1" customWidth="1"/>
    <col min="7165" max="7165" width="14.5" style="1" customWidth="1"/>
    <col min="7166" max="7166" width="6.875" style="1" customWidth="1"/>
    <col min="7167" max="7167" width="6.375" style="1" customWidth="1"/>
    <col min="7168" max="7168" width="11.875" style="1" customWidth="1"/>
    <col min="7169" max="7170" width="25" style="1" customWidth="1"/>
    <col min="7171" max="7415" width="7.5" style="1"/>
    <col min="7416" max="7416" width="4.5" style="1" bestFit="1" customWidth="1"/>
    <col min="7417" max="7417" width="9.5" style="1" customWidth="1"/>
    <col min="7418" max="7418" width="36.375" style="1" customWidth="1"/>
    <col min="7419" max="7419" width="8.75" style="1" customWidth="1"/>
    <col min="7420" max="7420" width="11.375" style="1" customWidth="1"/>
    <col min="7421" max="7421" width="14.5" style="1" customWidth="1"/>
    <col min="7422" max="7422" width="6.875" style="1" customWidth="1"/>
    <col min="7423" max="7423" width="6.375" style="1" customWidth="1"/>
    <col min="7424" max="7424" width="11.875" style="1" customWidth="1"/>
    <col min="7425" max="7426" width="25" style="1" customWidth="1"/>
    <col min="7427" max="7671" width="7.5" style="1"/>
    <col min="7672" max="7672" width="4.5" style="1" bestFit="1" customWidth="1"/>
    <col min="7673" max="7673" width="9.5" style="1" customWidth="1"/>
    <col min="7674" max="7674" width="36.375" style="1" customWidth="1"/>
    <col min="7675" max="7675" width="8.75" style="1" customWidth="1"/>
    <col min="7676" max="7676" width="11.375" style="1" customWidth="1"/>
    <col min="7677" max="7677" width="14.5" style="1" customWidth="1"/>
    <col min="7678" max="7678" width="6.875" style="1" customWidth="1"/>
    <col min="7679" max="7679" width="6.375" style="1" customWidth="1"/>
    <col min="7680" max="7680" width="11.875" style="1" customWidth="1"/>
    <col min="7681" max="7682" width="25" style="1" customWidth="1"/>
    <col min="7683" max="7927" width="7.5" style="1"/>
    <col min="7928" max="7928" width="4.5" style="1" bestFit="1" customWidth="1"/>
    <col min="7929" max="7929" width="9.5" style="1" customWidth="1"/>
    <col min="7930" max="7930" width="36.375" style="1" customWidth="1"/>
    <col min="7931" max="7931" width="8.75" style="1" customWidth="1"/>
    <col min="7932" max="7932" width="11.375" style="1" customWidth="1"/>
    <col min="7933" max="7933" width="14.5" style="1" customWidth="1"/>
    <col min="7934" max="7934" width="6.875" style="1" customWidth="1"/>
    <col min="7935" max="7935" width="6.375" style="1" customWidth="1"/>
    <col min="7936" max="7936" width="11.875" style="1" customWidth="1"/>
    <col min="7937" max="7938" width="25" style="1" customWidth="1"/>
    <col min="7939" max="8183" width="7.5" style="1"/>
    <col min="8184" max="8184" width="4.5" style="1" bestFit="1" customWidth="1"/>
    <col min="8185" max="8185" width="9.5" style="1" customWidth="1"/>
    <col min="8186" max="8186" width="36.375" style="1" customWidth="1"/>
    <col min="8187" max="8187" width="8.75" style="1" customWidth="1"/>
    <col min="8188" max="8188" width="11.375" style="1" customWidth="1"/>
    <col min="8189" max="8189" width="14.5" style="1" customWidth="1"/>
    <col min="8190" max="8190" width="6.875" style="1" customWidth="1"/>
    <col min="8191" max="8191" width="6.375" style="1" customWidth="1"/>
    <col min="8192" max="8192" width="11.875" style="1" customWidth="1"/>
    <col min="8193" max="8194" width="25" style="1" customWidth="1"/>
    <col min="8195" max="8439" width="7.5" style="1"/>
    <col min="8440" max="8440" width="4.5" style="1" bestFit="1" customWidth="1"/>
    <col min="8441" max="8441" width="9.5" style="1" customWidth="1"/>
    <col min="8442" max="8442" width="36.375" style="1" customWidth="1"/>
    <col min="8443" max="8443" width="8.75" style="1" customWidth="1"/>
    <col min="8444" max="8444" width="11.375" style="1" customWidth="1"/>
    <col min="8445" max="8445" width="14.5" style="1" customWidth="1"/>
    <col min="8446" max="8446" width="6.875" style="1" customWidth="1"/>
    <col min="8447" max="8447" width="6.375" style="1" customWidth="1"/>
    <col min="8448" max="8448" width="11.875" style="1" customWidth="1"/>
    <col min="8449" max="8450" width="25" style="1" customWidth="1"/>
    <col min="8451" max="8695" width="7.5" style="1"/>
    <col min="8696" max="8696" width="4.5" style="1" bestFit="1" customWidth="1"/>
    <col min="8697" max="8697" width="9.5" style="1" customWidth="1"/>
    <col min="8698" max="8698" width="36.375" style="1" customWidth="1"/>
    <col min="8699" max="8699" width="8.75" style="1" customWidth="1"/>
    <col min="8700" max="8700" width="11.375" style="1" customWidth="1"/>
    <col min="8701" max="8701" width="14.5" style="1" customWidth="1"/>
    <col min="8702" max="8702" width="6.875" style="1" customWidth="1"/>
    <col min="8703" max="8703" width="6.375" style="1" customWidth="1"/>
    <col min="8704" max="8704" width="11.875" style="1" customWidth="1"/>
    <col min="8705" max="8706" width="25" style="1" customWidth="1"/>
    <col min="8707" max="8951" width="7.5" style="1"/>
    <col min="8952" max="8952" width="4.5" style="1" bestFit="1" customWidth="1"/>
    <col min="8953" max="8953" width="9.5" style="1" customWidth="1"/>
    <col min="8954" max="8954" width="36.375" style="1" customWidth="1"/>
    <col min="8955" max="8955" width="8.75" style="1" customWidth="1"/>
    <col min="8956" max="8956" width="11.375" style="1" customWidth="1"/>
    <col min="8957" max="8957" width="14.5" style="1" customWidth="1"/>
    <col min="8958" max="8958" width="6.875" style="1" customWidth="1"/>
    <col min="8959" max="8959" width="6.375" style="1" customWidth="1"/>
    <col min="8960" max="8960" width="11.875" style="1" customWidth="1"/>
    <col min="8961" max="8962" width="25" style="1" customWidth="1"/>
    <col min="8963" max="9207" width="7.5" style="1"/>
    <col min="9208" max="9208" width="4.5" style="1" bestFit="1" customWidth="1"/>
    <col min="9209" max="9209" width="9.5" style="1" customWidth="1"/>
    <col min="9210" max="9210" width="36.375" style="1" customWidth="1"/>
    <col min="9211" max="9211" width="8.75" style="1" customWidth="1"/>
    <col min="9212" max="9212" width="11.375" style="1" customWidth="1"/>
    <col min="9213" max="9213" width="14.5" style="1" customWidth="1"/>
    <col min="9214" max="9214" width="6.875" style="1" customWidth="1"/>
    <col min="9215" max="9215" width="6.375" style="1" customWidth="1"/>
    <col min="9216" max="9216" width="11.875" style="1" customWidth="1"/>
    <col min="9217" max="9218" width="25" style="1" customWidth="1"/>
    <col min="9219" max="9463" width="7.5" style="1"/>
    <col min="9464" max="9464" width="4.5" style="1" bestFit="1" customWidth="1"/>
    <col min="9465" max="9465" width="9.5" style="1" customWidth="1"/>
    <col min="9466" max="9466" width="36.375" style="1" customWidth="1"/>
    <col min="9467" max="9467" width="8.75" style="1" customWidth="1"/>
    <col min="9468" max="9468" width="11.375" style="1" customWidth="1"/>
    <col min="9469" max="9469" width="14.5" style="1" customWidth="1"/>
    <col min="9470" max="9470" width="6.875" style="1" customWidth="1"/>
    <col min="9471" max="9471" width="6.375" style="1" customWidth="1"/>
    <col min="9472" max="9472" width="11.875" style="1" customWidth="1"/>
    <col min="9473" max="9474" width="25" style="1" customWidth="1"/>
    <col min="9475" max="9719" width="7.5" style="1"/>
    <col min="9720" max="9720" width="4.5" style="1" bestFit="1" customWidth="1"/>
    <col min="9721" max="9721" width="9.5" style="1" customWidth="1"/>
    <col min="9722" max="9722" width="36.375" style="1" customWidth="1"/>
    <col min="9723" max="9723" width="8.75" style="1" customWidth="1"/>
    <col min="9724" max="9724" width="11.375" style="1" customWidth="1"/>
    <col min="9725" max="9725" width="14.5" style="1" customWidth="1"/>
    <col min="9726" max="9726" width="6.875" style="1" customWidth="1"/>
    <col min="9727" max="9727" width="6.375" style="1" customWidth="1"/>
    <col min="9728" max="9728" width="11.875" style="1" customWidth="1"/>
    <col min="9729" max="9730" width="25" style="1" customWidth="1"/>
    <col min="9731" max="9975" width="7.5" style="1"/>
    <col min="9976" max="9976" width="4.5" style="1" bestFit="1" customWidth="1"/>
    <col min="9977" max="9977" width="9.5" style="1" customWidth="1"/>
    <col min="9978" max="9978" width="36.375" style="1" customWidth="1"/>
    <col min="9979" max="9979" width="8.75" style="1" customWidth="1"/>
    <col min="9980" max="9980" width="11.375" style="1" customWidth="1"/>
    <col min="9981" max="9981" width="14.5" style="1" customWidth="1"/>
    <col min="9982" max="9982" width="6.875" style="1" customWidth="1"/>
    <col min="9983" max="9983" width="6.375" style="1" customWidth="1"/>
    <col min="9984" max="9984" width="11.875" style="1" customWidth="1"/>
    <col min="9985" max="9986" width="25" style="1" customWidth="1"/>
    <col min="9987" max="10231" width="7.5" style="1"/>
    <col min="10232" max="10232" width="4.5" style="1" bestFit="1" customWidth="1"/>
    <col min="10233" max="10233" width="9.5" style="1" customWidth="1"/>
    <col min="10234" max="10234" width="36.375" style="1" customWidth="1"/>
    <col min="10235" max="10235" width="8.75" style="1" customWidth="1"/>
    <col min="10236" max="10236" width="11.375" style="1" customWidth="1"/>
    <col min="10237" max="10237" width="14.5" style="1" customWidth="1"/>
    <col min="10238" max="10238" width="6.875" style="1" customWidth="1"/>
    <col min="10239" max="10239" width="6.375" style="1" customWidth="1"/>
    <col min="10240" max="10240" width="11.875" style="1" customWidth="1"/>
    <col min="10241" max="10242" width="25" style="1" customWidth="1"/>
    <col min="10243" max="10487" width="7.5" style="1"/>
    <col min="10488" max="10488" width="4.5" style="1" bestFit="1" customWidth="1"/>
    <col min="10489" max="10489" width="9.5" style="1" customWidth="1"/>
    <col min="10490" max="10490" width="36.375" style="1" customWidth="1"/>
    <col min="10491" max="10491" width="8.75" style="1" customWidth="1"/>
    <col min="10492" max="10492" width="11.375" style="1" customWidth="1"/>
    <col min="10493" max="10493" width="14.5" style="1" customWidth="1"/>
    <col min="10494" max="10494" width="6.875" style="1" customWidth="1"/>
    <col min="10495" max="10495" width="6.375" style="1" customWidth="1"/>
    <col min="10496" max="10496" width="11.875" style="1" customWidth="1"/>
    <col min="10497" max="10498" width="25" style="1" customWidth="1"/>
    <col min="10499" max="10743" width="7.5" style="1"/>
    <col min="10744" max="10744" width="4.5" style="1" bestFit="1" customWidth="1"/>
    <col min="10745" max="10745" width="9.5" style="1" customWidth="1"/>
    <col min="10746" max="10746" width="36.375" style="1" customWidth="1"/>
    <col min="10747" max="10747" width="8.75" style="1" customWidth="1"/>
    <col min="10748" max="10748" width="11.375" style="1" customWidth="1"/>
    <col min="10749" max="10749" width="14.5" style="1" customWidth="1"/>
    <col min="10750" max="10750" width="6.875" style="1" customWidth="1"/>
    <col min="10751" max="10751" width="6.375" style="1" customWidth="1"/>
    <col min="10752" max="10752" width="11.875" style="1" customWidth="1"/>
    <col min="10753" max="10754" width="25" style="1" customWidth="1"/>
    <col min="10755" max="10999" width="7.5" style="1"/>
    <col min="11000" max="11000" width="4.5" style="1" bestFit="1" customWidth="1"/>
    <col min="11001" max="11001" width="9.5" style="1" customWidth="1"/>
    <col min="11002" max="11002" width="36.375" style="1" customWidth="1"/>
    <col min="11003" max="11003" width="8.75" style="1" customWidth="1"/>
    <col min="11004" max="11004" width="11.375" style="1" customWidth="1"/>
    <col min="11005" max="11005" width="14.5" style="1" customWidth="1"/>
    <col min="11006" max="11006" width="6.875" style="1" customWidth="1"/>
    <col min="11007" max="11007" width="6.375" style="1" customWidth="1"/>
    <col min="11008" max="11008" width="11.875" style="1" customWidth="1"/>
    <col min="11009" max="11010" width="25" style="1" customWidth="1"/>
    <col min="11011" max="11255" width="7.5" style="1"/>
    <col min="11256" max="11256" width="4.5" style="1" bestFit="1" customWidth="1"/>
    <col min="11257" max="11257" width="9.5" style="1" customWidth="1"/>
    <col min="11258" max="11258" width="36.375" style="1" customWidth="1"/>
    <col min="11259" max="11259" width="8.75" style="1" customWidth="1"/>
    <col min="11260" max="11260" width="11.375" style="1" customWidth="1"/>
    <col min="11261" max="11261" width="14.5" style="1" customWidth="1"/>
    <col min="11262" max="11262" width="6.875" style="1" customWidth="1"/>
    <col min="11263" max="11263" width="6.375" style="1" customWidth="1"/>
    <col min="11264" max="11264" width="11.875" style="1" customWidth="1"/>
    <col min="11265" max="11266" width="25" style="1" customWidth="1"/>
    <col min="11267" max="11511" width="7.5" style="1"/>
    <col min="11512" max="11512" width="4.5" style="1" bestFit="1" customWidth="1"/>
    <col min="11513" max="11513" width="9.5" style="1" customWidth="1"/>
    <col min="11514" max="11514" width="36.375" style="1" customWidth="1"/>
    <col min="11515" max="11515" width="8.75" style="1" customWidth="1"/>
    <col min="11516" max="11516" width="11.375" style="1" customWidth="1"/>
    <col min="11517" max="11517" width="14.5" style="1" customWidth="1"/>
    <col min="11518" max="11518" width="6.875" style="1" customWidth="1"/>
    <col min="11519" max="11519" width="6.375" style="1" customWidth="1"/>
    <col min="11520" max="11520" width="11.875" style="1" customWidth="1"/>
    <col min="11521" max="11522" width="25" style="1" customWidth="1"/>
    <col min="11523" max="11767" width="7.5" style="1"/>
    <col min="11768" max="11768" width="4.5" style="1" bestFit="1" customWidth="1"/>
    <col min="11769" max="11769" width="9.5" style="1" customWidth="1"/>
    <col min="11770" max="11770" width="36.375" style="1" customWidth="1"/>
    <col min="11771" max="11771" width="8.75" style="1" customWidth="1"/>
    <col min="11772" max="11772" width="11.375" style="1" customWidth="1"/>
    <col min="11773" max="11773" width="14.5" style="1" customWidth="1"/>
    <col min="11774" max="11774" width="6.875" style="1" customWidth="1"/>
    <col min="11775" max="11775" width="6.375" style="1" customWidth="1"/>
    <col min="11776" max="11776" width="11.875" style="1" customWidth="1"/>
    <col min="11777" max="11778" width="25" style="1" customWidth="1"/>
    <col min="11779" max="12023" width="7.5" style="1"/>
    <col min="12024" max="12024" width="4.5" style="1" bestFit="1" customWidth="1"/>
    <col min="12025" max="12025" width="9.5" style="1" customWidth="1"/>
    <col min="12026" max="12026" width="36.375" style="1" customWidth="1"/>
    <col min="12027" max="12027" width="8.75" style="1" customWidth="1"/>
    <col min="12028" max="12028" width="11.375" style="1" customWidth="1"/>
    <col min="12029" max="12029" width="14.5" style="1" customWidth="1"/>
    <col min="12030" max="12030" width="6.875" style="1" customWidth="1"/>
    <col min="12031" max="12031" width="6.375" style="1" customWidth="1"/>
    <col min="12032" max="12032" width="11.875" style="1" customWidth="1"/>
    <col min="12033" max="12034" width="25" style="1" customWidth="1"/>
    <col min="12035" max="12279" width="7.5" style="1"/>
    <col min="12280" max="12280" width="4.5" style="1" bestFit="1" customWidth="1"/>
    <col min="12281" max="12281" width="9.5" style="1" customWidth="1"/>
    <col min="12282" max="12282" width="36.375" style="1" customWidth="1"/>
    <col min="12283" max="12283" width="8.75" style="1" customWidth="1"/>
    <col min="12284" max="12284" width="11.375" style="1" customWidth="1"/>
    <col min="12285" max="12285" width="14.5" style="1" customWidth="1"/>
    <col min="12286" max="12286" width="6.875" style="1" customWidth="1"/>
    <col min="12287" max="12287" width="6.375" style="1" customWidth="1"/>
    <col min="12288" max="12288" width="11.875" style="1" customWidth="1"/>
    <col min="12289" max="12290" width="25" style="1" customWidth="1"/>
    <col min="12291" max="12535" width="7.5" style="1"/>
    <col min="12536" max="12536" width="4.5" style="1" bestFit="1" customWidth="1"/>
    <col min="12537" max="12537" width="9.5" style="1" customWidth="1"/>
    <col min="12538" max="12538" width="36.375" style="1" customWidth="1"/>
    <col min="12539" max="12539" width="8.75" style="1" customWidth="1"/>
    <col min="12540" max="12540" width="11.375" style="1" customWidth="1"/>
    <col min="12541" max="12541" width="14.5" style="1" customWidth="1"/>
    <col min="12542" max="12542" width="6.875" style="1" customWidth="1"/>
    <col min="12543" max="12543" width="6.375" style="1" customWidth="1"/>
    <col min="12544" max="12544" width="11.875" style="1" customWidth="1"/>
    <col min="12545" max="12546" width="25" style="1" customWidth="1"/>
    <col min="12547" max="12791" width="7.5" style="1"/>
    <col min="12792" max="12792" width="4.5" style="1" bestFit="1" customWidth="1"/>
    <col min="12793" max="12793" width="9.5" style="1" customWidth="1"/>
    <col min="12794" max="12794" width="36.375" style="1" customWidth="1"/>
    <col min="12795" max="12795" width="8.75" style="1" customWidth="1"/>
    <col min="12796" max="12796" width="11.375" style="1" customWidth="1"/>
    <col min="12797" max="12797" width="14.5" style="1" customWidth="1"/>
    <col min="12798" max="12798" width="6.875" style="1" customWidth="1"/>
    <col min="12799" max="12799" width="6.375" style="1" customWidth="1"/>
    <col min="12800" max="12800" width="11.875" style="1" customWidth="1"/>
    <col min="12801" max="12802" width="25" style="1" customWidth="1"/>
    <col min="12803" max="13047" width="7.5" style="1"/>
    <col min="13048" max="13048" width="4.5" style="1" bestFit="1" customWidth="1"/>
    <col min="13049" max="13049" width="9.5" style="1" customWidth="1"/>
    <col min="13050" max="13050" width="36.375" style="1" customWidth="1"/>
    <col min="13051" max="13051" width="8.75" style="1" customWidth="1"/>
    <col min="13052" max="13052" width="11.375" style="1" customWidth="1"/>
    <col min="13053" max="13053" width="14.5" style="1" customWidth="1"/>
    <col min="13054" max="13054" width="6.875" style="1" customWidth="1"/>
    <col min="13055" max="13055" width="6.375" style="1" customWidth="1"/>
    <col min="13056" max="13056" width="11.875" style="1" customWidth="1"/>
    <col min="13057" max="13058" width="25" style="1" customWidth="1"/>
    <col min="13059" max="13303" width="7.5" style="1"/>
    <col min="13304" max="13304" width="4.5" style="1" bestFit="1" customWidth="1"/>
    <col min="13305" max="13305" width="9.5" style="1" customWidth="1"/>
    <col min="13306" max="13306" width="36.375" style="1" customWidth="1"/>
    <col min="13307" max="13307" width="8.75" style="1" customWidth="1"/>
    <col min="13308" max="13308" width="11.375" style="1" customWidth="1"/>
    <col min="13309" max="13309" width="14.5" style="1" customWidth="1"/>
    <col min="13310" max="13310" width="6.875" style="1" customWidth="1"/>
    <col min="13311" max="13311" width="6.375" style="1" customWidth="1"/>
    <col min="13312" max="13312" width="11.875" style="1" customWidth="1"/>
    <col min="13313" max="13314" width="25" style="1" customWidth="1"/>
    <col min="13315" max="13559" width="7.5" style="1"/>
    <col min="13560" max="13560" width="4.5" style="1" bestFit="1" customWidth="1"/>
    <col min="13561" max="13561" width="9.5" style="1" customWidth="1"/>
    <col min="13562" max="13562" width="36.375" style="1" customWidth="1"/>
    <col min="13563" max="13563" width="8.75" style="1" customWidth="1"/>
    <col min="13564" max="13564" width="11.375" style="1" customWidth="1"/>
    <col min="13565" max="13565" width="14.5" style="1" customWidth="1"/>
    <col min="13566" max="13566" width="6.875" style="1" customWidth="1"/>
    <col min="13567" max="13567" width="6.375" style="1" customWidth="1"/>
    <col min="13568" max="13568" width="11.875" style="1" customWidth="1"/>
    <col min="13569" max="13570" width="25" style="1" customWidth="1"/>
    <col min="13571" max="13815" width="7.5" style="1"/>
    <col min="13816" max="13816" width="4.5" style="1" bestFit="1" customWidth="1"/>
    <col min="13817" max="13817" width="9.5" style="1" customWidth="1"/>
    <col min="13818" max="13818" width="36.375" style="1" customWidth="1"/>
    <col min="13819" max="13819" width="8.75" style="1" customWidth="1"/>
    <col min="13820" max="13820" width="11.375" style="1" customWidth="1"/>
    <col min="13821" max="13821" width="14.5" style="1" customWidth="1"/>
    <col min="13822" max="13822" width="6.875" style="1" customWidth="1"/>
    <col min="13823" max="13823" width="6.375" style="1" customWidth="1"/>
    <col min="13824" max="13824" width="11.875" style="1" customWidth="1"/>
    <col min="13825" max="13826" width="25" style="1" customWidth="1"/>
    <col min="13827" max="14071" width="7.5" style="1"/>
    <col min="14072" max="14072" width="4.5" style="1" bestFit="1" customWidth="1"/>
    <col min="14073" max="14073" width="9.5" style="1" customWidth="1"/>
    <col min="14074" max="14074" width="36.375" style="1" customWidth="1"/>
    <col min="14075" max="14075" width="8.75" style="1" customWidth="1"/>
    <col min="14076" max="14076" width="11.375" style="1" customWidth="1"/>
    <col min="14077" max="14077" width="14.5" style="1" customWidth="1"/>
    <col min="14078" max="14078" width="6.875" style="1" customWidth="1"/>
    <col min="14079" max="14079" width="6.375" style="1" customWidth="1"/>
    <col min="14080" max="14080" width="11.875" style="1" customWidth="1"/>
    <col min="14081" max="14082" width="25" style="1" customWidth="1"/>
    <col min="14083" max="14327" width="7.5" style="1"/>
    <col min="14328" max="14328" width="4.5" style="1" bestFit="1" customWidth="1"/>
    <col min="14329" max="14329" width="9.5" style="1" customWidth="1"/>
    <col min="14330" max="14330" width="36.375" style="1" customWidth="1"/>
    <col min="14331" max="14331" width="8.75" style="1" customWidth="1"/>
    <col min="14332" max="14332" width="11.375" style="1" customWidth="1"/>
    <col min="14333" max="14333" width="14.5" style="1" customWidth="1"/>
    <col min="14334" max="14334" width="6.875" style="1" customWidth="1"/>
    <col min="14335" max="14335" width="6.375" style="1" customWidth="1"/>
    <col min="14336" max="14336" width="11.875" style="1" customWidth="1"/>
    <col min="14337" max="14338" width="25" style="1" customWidth="1"/>
    <col min="14339" max="14583" width="7.5" style="1"/>
    <col min="14584" max="14584" width="4.5" style="1" bestFit="1" customWidth="1"/>
    <col min="14585" max="14585" width="9.5" style="1" customWidth="1"/>
    <col min="14586" max="14586" width="36.375" style="1" customWidth="1"/>
    <col min="14587" max="14587" width="8.75" style="1" customWidth="1"/>
    <col min="14588" max="14588" width="11.375" style="1" customWidth="1"/>
    <col min="14589" max="14589" width="14.5" style="1" customWidth="1"/>
    <col min="14590" max="14590" width="6.875" style="1" customWidth="1"/>
    <col min="14591" max="14591" width="6.375" style="1" customWidth="1"/>
    <col min="14592" max="14592" width="11.875" style="1" customWidth="1"/>
    <col min="14593" max="14594" width="25" style="1" customWidth="1"/>
    <col min="14595" max="14839" width="7.5" style="1"/>
    <col min="14840" max="14840" width="4.5" style="1" bestFit="1" customWidth="1"/>
    <col min="14841" max="14841" width="9.5" style="1" customWidth="1"/>
    <col min="14842" max="14842" width="36.375" style="1" customWidth="1"/>
    <col min="14843" max="14843" width="8.75" style="1" customWidth="1"/>
    <col min="14844" max="14844" width="11.375" style="1" customWidth="1"/>
    <col min="14845" max="14845" width="14.5" style="1" customWidth="1"/>
    <col min="14846" max="14846" width="6.875" style="1" customWidth="1"/>
    <col min="14847" max="14847" width="6.375" style="1" customWidth="1"/>
    <col min="14848" max="14848" width="11.875" style="1" customWidth="1"/>
    <col min="14849" max="14850" width="25" style="1" customWidth="1"/>
    <col min="14851" max="15095" width="7.5" style="1"/>
    <col min="15096" max="15096" width="4.5" style="1" bestFit="1" customWidth="1"/>
    <col min="15097" max="15097" width="9.5" style="1" customWidth="1"/>
    <col min="15098" max="15098" width="36.375" style="1" customWidth="1"/>
    <col min="15099" max="15099" width="8.75" style="1" customWidth="1"/>
    <col min="15100" max="15100" width="11.375" style="1" customWidth="1"/>
    <col min="15101" max="15101" width="14.5" style="1" customWidth="1"/>
    <col min="15102" max="15102" width="6.875" style="1" customWidth="1"/>
    <col min="15103" max="15103" width="6.375" style="1" customWidth="1"/>
    <col min="15104" max="15104" width="11.875" style="1" customWidth="1"/>
    <col min="15105" max="15106" width="25" style="1" customWidth="1"/>
    <col min="15107" max="15351" width="7.5" style="1"/>
    <col min="15352" max="15352" width="4.5" style="1" bestFit="1" customWidth="1"/>
    <col min="15353" max="15353" width="9.5" style="1" customWidth="1"/>
    <col min="15354" max="15354" width="36.375" style="1" customWidth="1"/>
    <col min="15355" max="15355" width="8.75" style="1" customWidth="1"/>
    <col min="15356" max="15356" width="11.375" style="1" customWidth="1"/>
    <col min="15357" max="15357" width="14.5" style="1" customWidth="1"/>
    <col min="15358" max="15358" width="6.875" style="1" customWidth="1"/>
    <col min="15359" max="15359" width="6.375" style="1" customWidth="1"/>
    <col min="15360" max="15360" width="11.875" style="1" customWidth="1"/>
    <col min="15361" max="15362" width="25" style="1" customWidth="1"/>
    <col min="15363" max="15607" width="7.5" style="1"/>
    <col min="15608" max="15608" width="4.5" style="1" bestFit="1" customWidth="1"/>
    <col min="15609" max="15609" width="9.5" style="1" customWidth="1"/>
    <col min="15610" max="15610" width="36.375" style="1" customWidth="1"/>
    <col min="15611" max="15611" width="8.75" style="1" customWidth="1"/>
    <col min="15612" max="15612" width="11.375" style="1" customWidth="1"/>
    <col min="15613" max="15613" width="14.5" style="1" customWidth="1"/>
    <col min="15614" max="15614" width="6.875" style="1" customWidth="1"/>
    <col min="15615" max="15615" width="6.375" style="1" customWidth="1"/>
    <col min="15616" max="15616" width="11.875" style="1" customWidth="1"/>
    <col min="15617" max="15618" width="25" style="1" customWidth="1"/>
    <col min="15619" max="15863" width="7.5" style="1"/>
    <col min="15864" max="15864" width="4.5" style="1" bestFit="1" customWidth="1"/>
    <col min="15865" max="15865" width="9.5" style="1" customWidth="1"/>
    <col min="15866" max="15866" width="36.375" style="1" customWidth="1"/>
    <col min="15867" max="15867" width="8.75" style="1" customWidth="1"/>
    <col min="15868" max="15868" width="11.375" style="1" customWidth="1"/>
    <col min="15869" max="15869" width="14.5" style="1" customWidth="1"/>
    <col min="15870" max="15870" width="6.875" style="1" customWidth="1"/>
    <col min="15871" max="15871" width="6.375" style="1" customWidth="1"/>
    <col min="15872" max="15872" width="11.875" style="1" customWidth="1"/>
    <col min="15873" max="15874" width="25" style="1" customWidth="1"/>
    <col min="15875" max="16119" width="7.5" style="1"/>
    <col min="16120" max="16120" width="4.5" style="1" bestFit="1" customWidth="1"/>
    <col min="16121" max="16121" width="9.5" style="1" customWidth="1"/>
    <col min="16122" max="16122" width="36.375" style="1" customWidth="1"/>
    <col min="16123" max="16123" width="8.75" style="1" customWidth="1"/>
    <col min="16124" max="16124" width="11.375" style="1" customWidth="1"/>
    <col min="16125" max="16125" width="14.5" style="1" customWidth="1"/>
    <col min="16126" max="16126" width="6.875" style="1" customWidth="1"/>
    <col min="16127" max="16127" width="6.375" style="1" customWidth="1"/>
    <col min="16128" max="16128" width="11.875" style="1" customWidth="1"/>
    <col min="16129" max="16130" width="25" style="1" customWidth="1"/>
    <col min="16131" max="16384" width="7.5" style="1"/>
  </cols>
  <sheetData>
    <row r="1" spans="1:5" ht="18.75">
      <c r="A1" s="593" t="s">
        <v>429</v>
      </c>
      <c r="B1" s="593"/>
      <c r="C1" s="593"/>
      <c r="D1" s="593"/>
      <c r="E1" s="593"/>
    </row>
    <row r="2" spans="1:5" ht="18.75">
      <c r="A2" s="593" t="s">
        <v>416</v>
      </c>
      <c r="B2" s="593"/>
      <c r="C2" s="593"/>
      <c r="D2" s="593"/>
      <c r="E2" s="593"/>
    </row>
    <row r="3" spans="1:5" ht="18.75" customHeight="1">
      <c r="E3" s="283" t="s">
        <v>408</v>
      </c>
    </row>
    <row r="4" spans="1:5" ht="15.75">
      <c r="A4" s="596" t="s">
        <v>0</v>
      </c>
      <c r="B4" s="596" t="s">
        <v>44</v>
      </c>
      <c r="C4" s="594" t="s">
        <v>424</v>
      </c>
      <c r="D4" s="595"/>
      <c r="E4" s="598" t="s">
        <v>40</v>
      </c>
    </row>
    <row r="5" spans="1:5" ht="31.5">
      <c r="A5" s="597"/>
      <c r="B5" s="597"/>
      <c r="C5" s="281" t="s">
        <v>349</v>
      </c>
      <c r="D5" s="282" t="s">
        <v>350</v>
      </c>
      <c r="E5" s="599"/>
    </row>
    <row r="6" spans="1:5" ht="15.75">
      <c r="A6" s="185">
        <v>1</v>
      </c>
      <c r="B6" s="232" t="s">
        <v>425</v>
      </c>
      <c r="C6" s="270">
        <f>'II.2 DCLD'!H143</f>
        <v>1447.9203945333336</v>
      </c>
      <c r="D6" s="270">
        <f>'II.2 DCLD'!I143</f>
        <v>1089.8901597222221</v>
      </c>
      <c r="E6" s="280" t="s">
        <v>722</v>
      </c>
    </row>
    <row r="7" spans="1:5" ht="15.75">
      <c r="A7" s="185">
        <v>2</v>
      </c>
      <c r="B7" s="232" t="s">
        <v>426</v>
      </c>
      <c r="C7" s="270">
        <f>'II.4 Vat lieu'!H18</f>
        <v>18660.404238102132</v>
      </c>
      <c r="D7" s="270">
        <f>'II.4 Vat lieu'!I18</f>
        <v>17267.301350275808</v>
      </c>
      <c r="E7" s="280" t="s">
        <v>442</v>
      </c>
    </row>
    <row r="8" spans="1:5" ht="15.75">
      <c r="A8" s="185">
        <v>3</v>
      </c>
      <c r="B8" s="232" t="s">
        <v>427</v>
      </c>
      <c r="C8" s="270">
        <f>'II.5 NL'!G13</f>
        <v>1064.4952752342858</v>
      </c>
      <c r="D8" s="270">
        <f>'II.5 NL'!H13</f>
        <v>1114.390702857143</v>
      </c>
      <c r="E8" s="280" t="s">
        <v>443</v>
      </c>
    </row>
    <row r="9" spans="1:5" ht="15.75">
      <c r="A9" s="185">
        <v>4</v>
      </c>
      <c r="B9" s="232" t="s">
        <v>428</v>
      </c>
      <c r="C9" s="270">
        <f>'II.7 NLIEU'!H8</f>
        <v>7495.9988363636376</v>
      </c>
      <c r="D9" s="270">
        <f>'II.7 NLIEU'!I8</f>
        <v>7524.2654545454543</v>
      </c>
      <c r="E9" s="280" t="s">
        <v>444</v>
      </c>
    </row>
    <row r="10" spans="1:5" ht="15.75">
      <c r="A10" s="167"/>
      <c r="B10" s="79" t="s">
        <v>357</v>
      </c>
      <c r="C10" s="266">
        <f>SUM(C6:C9)</f>
        <v>28668.818744233387</v>
      </c>
      <c r="D10" s="266">
        <f>SUM(D6:D9)</f>
        <v>26995.847667400627</v>
      </c>
      <c r="E10" s="14"/>
    </row>
  </sheetData>
  <mergeCells count="6">
    <mergeCell ref="A1:E1"/>
    <mergeCell ref="A2:E2"/>
    <mergeCell ref="C4:D4"/>
    <mergeCell ref="A4:A5"/>
    <mergeCell ref="B4:B5"/>
    <mergeCell ref="E4:E5"/>
  </mergeCells>
  <phoneticPr fontId="21" type="noConversion"/>
  <printOptions horizontalCentered="1" verticalCentered="1"/>
  <pageMargins left="0.2" right="0.2" top="0.53" bottom="0.5" header="0.3" footer="0.3"/>
  <pageSetup paperSize="9" scale="90"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A4" zoomScale="120" zoomScaleNormal="120" workbookViewId="0">
      <selection activeCell="G12" sqref="G12"/>
    </sheetView>
  </sheetViews>
  <sheetFormatPr defaultColWidth="9.125" defaultRowHeight="15"/>
  <cols>
    <col min="1" max="1" width="8.5" style="40" bestFit="1" customWidth="1"/>
    <col min="2" max="2" width="27.625" style="35" customWidth="1"/>
    <col min="3" max="3" width="9.125" style="40"/>
    <col min="4" max="4" width="11.875" style="35" customWidth="1"/>
    <col min="5" max="5" width="11.75" style="35" customWidth="1"/>
    <col min="6" max="6" width="11.375" style="35" bestFit="1" customWidth="1"/>
    <col min="7" max="7" width="9.875" style="35" customWidth="1"/>
    <col min="8" max="8" width="10.375" style="35" customWidth="1"/>
    <col min="9" max="9" width="11.375" style="279" bestFit="1" customWidth="1"/>
    <col min="10" max="10" width="11.375" style="279" customWidth="1"/>
    <col min="11" max="11" width="49.25" style="39" customWidth="1"/>
    <col min="12" max="16384" width="9.125" style="35"/>
  </cols>
  <sheetData>
    <row r="1" spans="1:11" ht="29.25" customHeight="1">
      <c r="A1" s="600" t="s">
        <v>187</v>
      </c>
      <c r="B1" s="600"/>
      <c r="C1" s="600"/>
      <c r="D1" s="600"/>
      <c r="E1" s="600"/>
      <c r="F1" s="600"/>
      <c r="G1" s="600"/>
      <c r="H1" s="600"/>
      <c r="I1" s="600"/>
      <c r="J1" s="600"/>
      <c r="K1" s="600"/>
    </row>
    <row r="2" spans="1:11" s="37" customFormat="1" ht="85.5">
      <c r="A2" s="5" t="s">
        <v>0</v>
      </c>
      <c r="B2" s="36" t="s">
        <v>188</v>
      </c>
      <c r="C2" s="36" t="s">
        <v>244</v>
      </c>
      <c r="D2" s="5" t="s">
        <v>189</v>
      </c>
      <c r="E2" s="5" t="s">
        <v>190</v>
      </c>
      <c r="F2" s="5" t="s">
        <v>191</v>
      </c>
      <c r="G2" s="5" t="s">
        <v>192</v>
      </c>
      <c r="H2" s="5" t="s">
        <v>406</v>
      </c>
      <c r="I2" s="278" t="s">
        <v>193</v>
      </c>
      <c r="J2" s="278"/>
      <c r="K2" s="5" t="s">
        <v>194</v>
      </c>
    </row>
    <row r="3" spans="1:11" s="37" customFormat="1" ht="14.25">
      <c r="A3" s="168"/>
      <c r="B3" s="36"/>
      <c r="C3" s="36"/>
      <c r="D3" s="168"/>
      <c r="E3" s="168"/>
      <c r="F3" s="168"/>
      <c r="G3" s="168"/>
      <c r="H3" s="168"/>
      <c r="I3" s="278"/>
      <c r="J3" s="278"/>
      <c r="K3" s="168"/>
    </row>
    <row r="4" spans="1:11" ht="75">
      <c r="A4" s="8">
        <v>1</v>
      </c>
      <c r="B4" s="9" t="s">
        <v>216</v>
      </c>
      <c r="C4" s="38" t="s">
        <v>43</v>
      </c>
      <c r="D4" s="9">
        <v>150000</v>
      </c>
      <c r="E4" s="9">
        <v>150000</v>
      </c>
      <c r="F4" s="9">
        <v>155000</v>
      </c>
      <c r="G4" s="71">
        <f>'[2]Dự thầu'!$I$16</f>
        <v>71979.752985878964</v>
      </c>
      <c r="H4" s="71"/>
      <c r="I4" s="204">
        <f t="shared" ref="I4:I12" si="0">+MIN(D4:G4)</f>
        <v>71979.752985878964</v>
      </c>
      <c r="J4" s="204"/>
      <c r="K4" s="70" t="s">
        <v>325</v>
      </c>
    </row>
    <row r="5" spans="1:11" s="73" customFormat="1" ht="15.75">
      <c r="A5" s="8">
        <v>2</v>
      </c>
      <c r="B5" s="9" t="s">
        <v>196</v>
      </c>
      <c r="C5" s="38" t="s">
        <v>43</v>
      </c>
      <c r="D5" s="9">
        <v>154900.5606766</v>
      </c>
      <c r="E5" s="9"/>
      <c r="F5" s="9">
        <v>152000</v>
      </c>
      <c r="G5" s="71"/>
      <c r="H5" s="71"/>
      <c r="I5" s="204">
        <f t="shared" si="0"/>
        <v>152000</v>
      </c>
      <c r="J5" s="204"/>
      <c r="K5" s="70" t="s">
        <v>218</v>
      </c>
    </row>
    <row r="6" spans="1:11" ht="15.75">
      <c r="A6" s="8">
        <v>3</v>
      </c>
      <c r="B6" s="9" t="s">
        <v>198</v>
      </c>
      <c r="C6" s="38" t="s">
        <v>43</v>
      </c>
      <c r="D6" s="9">
        <v>154900.5606766</v>
      </c>
      <c r="E6" s="9"/>
      <c r="F6" s="9">
        <f>F5</f>
        <v>152000</v>
      </c>
      <c r="G6" s="71"/>
      <c r="H6" s="71"/>
      <c r="I6" s="204">
        <f t="shared" si="0"/>
        <v>152000</v>
      </c>
      <c r="J6" s="204"/>
      <c r="K6" s="70" t="s">
        <v>219</v>
      </c>
    </row>
    <row r="7" spans="1:11" s="73" customFormat="1" ht="15.75">
      <c r="A7" s="8">
        <v>4</v>
      </c>
      <c r="B7" s="9" t="s">
        <v>199</v>
      </c>
      <c r="C7" s="38" t="s">
        <v>43</v>
      </c>
      <c r="D7" s="9">
        <v>239603.02558340001</v>
      </c>
      <c r="E7" s="9">
        <v>239603.02558340001</v>
      </c>
      <c r="F7" s="9">
        <v>232000</v>
      </c>
      <c r="G7" s="71"/>
      <c r="H7" s="71"/>
      <c r="I7" s="204">
        <f t="shared" si="0"/>
        <v>232000</v>
      </c>
      <c r="J7" s="204"/>
      <c r="K7" s="70" t="s">
        <v>197</v>
      </c>
    </row>
    <row r="8" spans="1:11" s="73" customFormat="1" ht="60">
      <c r="A8" s="8">
        <v>5</v>
      </c>
      <c r="B8" s="9" t="s">
        <v>223</v>
      </c>
      <c r="C8" s="38" t="s">
        <v>155</v>
      </c>
      <c r="D8" s="9"/>
      <c r="E8" s="9"/>
      <c r="F8" s="9">
        <v>28600</v>
      </c>
      <c r="G8" s="71">
        <v>33500</v>
      </c>
      <c r="H8" s="71"/>
      <c r="I8" s="204">
        <f t="shared" si="0"/>
        <v>28600</v>
      </c>
      <c r="J8" s="204"/>
      <c r="K8" s="70" t="s">
        <v>224</v>
      </c>
    </row>
    <row r="9" spans="1:11" s="73" customFormat="1" ht="30">
      <c r="A9" s="8">
        <v>6</v>
      </c>
      <c r="B9" s="9" t="s">
        <v>221</v>
      </c>
      <c r="C9" s="38" t="s">
        <v>155</v>
      </c>
      <c r="D9" s="9">
        <v>146400</v>
      </c>
      <c r="E9" s="9">
        <v>146400</v>
      </c>
      <c r="F9" s="9">
        <v>151100</v>
      </c>
      <c r="G9" s="71"/>
      <c r="H9" s="71"/>
      <c r="I9" s="204">
        <f t="shared" si="0"/>
        <v>146400</v>
      </c>
      <c r="J9" s="204"/>
      <c r="K9" s="70" t="s">
        <v>222</v>
      </c>
    </row>
    <row r="10" spans="1:11" s="73" customFormat="1" ht="30">
      <c r="A10" s="8">
        <v>7</v>
      </c>
      <c r="B10" s="9" t="s">
        <v>153</v>
      </c>
      <c r="C10" s="38" t="s">
        <v>43</v>
      </c>
      <c r="D10" s="9"/>
      <c r="E10" s="9"/>
      <c r="F10" s="9">
        <f>15350</f>
        <v>15350</v>
      </c>
      <c r="G10" s="71"/>
      <c r="H10" s="71"/>
      <c r="I10" s="204">
        <f t="shared" si="0"/>
        <v>15350</v>
      </c>
      <c r="J10" s="204"/>
      <c r="K10" s="70" t="s">
        <v>217</v>
      </c>
    </row>
    <row r="11" spans="1:11" s="73" customFormat="1" ht="30">
      <c r="A11" s="8">
        <v>8</v>
      </c>
      <c r="B11" s="9" t="s">
        <v>240</v>
      </c>
      <c r="C11" s="38" t="s">
        <v>239</v>
      </c>
      <c r="D11" s="9"/>
      <c r="E11" s="9"/>
      <c r="F11" s="9">
        <v>709091</v>
      </c>
      <c r="G11" s="71">
        <f>850000/1.1</f>
        <v>772727.27272727271</v>
      </c>
      <c r="H11" s="71"/>
      <c r="I11" s="204">
        <f t="shared" si="0"/>
        <v>709091</v>
      </c>
      <c r="J11" s="204"/>
      <c r="K11" s="70" t="s">
        <v>242</v>
      </c>
    </row>
    <row r="12" spans="1:11" s="73" customFormat="1" ht="30">
      <c r="A12" s="8">
        <v>9</v>
      </c>
      <c r="B12" s="9" t="s">
        <v>294</v>
      </c>
      <c r="C12" s="38" t="s">
        <v>239</v>
      </c>
      <c r="D12" s="9"/>
      <c r="E12" s="9"/>
      <c r="F12" s="9">
        <v>618200</v>
      </c>
      <c r="G12" s="71">
        <f>315000/1.1*0+598000/1.08*0+ 590909</f>
        <v>590909</v>
      </c>
      <c r="H12" s="71"/>
      <c r="I12" s="204">
        <f t="shared" si="0"/>
        <v>590909</v>
      </c>
      <c r="J12" s="204"/>
      <c r="K12" s="70" t="s">
        <v>295</v>
      </c>
    </row>
    <row r="13" spans="1:11" s="73" customFormat="1" ht="15.75">
      <c r="A13" s="8">
        <v>10</v>
      </c>
      <c r="B13" s="9" t="s">
        <v>238</v>
      </c>
      <c r="C13" s="38" t="s">
        <v>31</v>
      </c>
      <c r="D13" s="9"/>
      <c r="E13" s="9"/>
      <c r="F13" s="9"/>
      <c r="G13" s="71">
        <f>(4500+1000)*0+5000</f>
        <v>5000</v>
      </c>
      <c r="H13" s="71">
        <v>1636.364</v>
      </c>
      <c r="I13" s="204">
        <f t="shared" ref="I13" si="1">+MIN(D13:G13)</f>
        <v>5000</v>
      </c>
      <c r="J13" s="204"/>
      <c r="K13" s="70" t="s">
        <v>241</v>
      </c>
    </row>
    <row r="14" spans="1:11" ht="123.75" customHeight="1">
      <c r="A14" s="8">
        <v>11</v>
      </c>
      <c r="B14" s="9" t="s">
        <v>292</v>
      </c>
      <c r="C14" s="38" t="s">
        <v>195</v>
      </c>
      <c r="D14" s="9">
        <v>125000</v>
      </c>
      <c r="E14" s="9">
        <v>120000</v>
      </c>
      <c r="F14" s="9">
        <v>131150</v>
      </c>
      <c r="G14" s="71">
        <v>82000</v>
      </c>
      <c r="H14" s="71">
        <v>39352</v>
      </c>
      <c r="I14" s="204">
        <f>+MIN(D14:H14)</f>
        <v>39352</v>
      </c>
      <c r="J14" s="204"/>
      <c r="K14" s="70" t="s">
        <v>293</v>
      </c>
    </row>
  </sheetData>
  <mergeCells count="1">
    <mergeCell ref="A1:K1"/>
  </mergeCells>
  <phoneticPr fontId="21" type="noConversion"/>
  <pageMargins left="0.45" right="0.2" top="0.5" bottom="0.5" header="0.3" footer="0.3"/>
  <pageSetup paperSize="9" scale="9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zoomScale="120" zoomScaleNormal="120" workbookViewId="0">
      <pane xSplit="2" ySplit="5" topLeftCell="C7" activePane="bottomRight" state="frozen"/>
      <selection pane="topRight" activeCell="C1" sqref="C1"/>
      <selection pane="bottomLeft" activeCell="A6" sqref="A6"/>
      <selection pane="bottomRight" activeCell="F14" sqref="F14"/>
    </sheetView>
  </sheetViews>
  <sheetFormatPr defaultRowHeight="15"/>
  <cols>
    <col min="1" max="1" width="5.375" customWidth="1"/>
    <col min="2" max="2" width="23.75" customWidth="1"/>
    <col min="4" max="4" width="12.125" customWidth="1"/>
    <col min="5" max="5" width="10.625" customWidth="1"/>
    <col min="6" max="7" width="11" style="128" customWidth="1"/>
    <col min="8" max="8" width="15.5" style="128" customWidth="1"/>
    <col min="9" max="9" width="16.125" style="128" customWidth="1"/>
    <col min="10" max="10" width="23.625" customWidth="1"/>
  </cols>
  <sheetData>
    <row r="1" spans="1:10" ht="19.5" customHeight="1">
      <c r="A1" s="593" t="s">
        <v>430</v>
      </c>
      <c r="B1" s="593"/>
      <c r="C1" s="593"/>
      <c r="D1" s="593"/>
      <c r="E1" s="593"/>
      <c r="F1" s="593"/>
      <c r="G1" s="593"/>
      <c r="H1" s="593"/>
      <c r="I1" s="593"/>
      <c r="J1" s="593"/>
    </row>
    <row r="2" spans="1:10" ht="18.75">
      <c r="A2" s="593" t="s">
        <v>431</v>
      </c>
      <c r="B2" s="593"/>
      <c r="C2" s="593"/>
      <c r="D2" s="593"/>
      <c r="E2" s="593"/>
      <c r="F2" s="593"/>
      <c r="G2" s="593"/>
      <c r="H2" s="593"/>
      <c r="I2" s="593"/>
      <c r="J2" s="593"/>
    </row>
    <row r="4" spans="1:10" ht="15.75">
      <c r="A4" s="608" t="s">
        <v>0</v>
      </c>
      <c r="B4" s="608" t="s">
        <v>44</v>
      </c>
      <c r="C4" s="608" t="s">
        <v>1</v>
      </c>
      <c r="D4" s="606" t="s">
        <v>353</v>
      </c>
      <c r="E4" s="607"/>
      <c r="F4" s="606" t="s">
        <v>354</v>
      </c>
      <c r="G4" s="607"/>
      <c r="H4" s="606" t="s">
        <v>356</v>
      </c>
      <c r="I4" s="607"/>
      <c r="J4" s="604" t="s">
        <v>40</v>
      </c>
    </row>
    <row r="5" spans="1:10" ht="31.5">
      <c r="A5" s="609"/>
      <c r="B5" s="609"/>
      <c r="C5" s="609"/>
      <c r="D5" s="281" t="s">
        <v>349</v>
      </c>
      <c r="E5" s="282" t="s">
        <v>350</v>
      </c>
      <c r="F5" s="281" t="s">
        <v>349</v>
      </c>
      <c r="G5" s="282" t="s">
        <v>350</v>
      </c>
      <c r="H5" s="281" t="s">
        <v>349</v>
      </c>
      <c r="I5" s="282" t="s">
        <v>350</v>
      </c>
      <c r="J5" s="605"/>
    </row>
    <row r="6" spans="1:10" s="87" customFormat="1" ht="15.75">
      <c r="A6" s="457" t="s">
        <v>358</v>
      </c>
      <c r="B6" s="457" t="s">
        <v>359</v>
      </c>
      <c r="C6" s="457" t="s">
        <v>360</v>
      </c>
      <c r="D6" s="457" t="s">
        <v>361</v>
      </c>
      <c r="E6" s="457" t="s">
        <v>362</v>
      </c>
      <c r="F6" s="457" t="s">
        <v>363</v>
      </c>
      <c r="G6" s="457" t="s">
        <v>364</v>
      </c>
      <c r="H6" s="457" t="s">
        <v>652</v>
      </c>
      <c r="I6" s="457" t="s">
        <v>653</v>
      </c>
      <c r="J6" s="457" t="s">
        <v>480</v>
      </c>
    </row>
    <row r="7" spans="1:10" s="171" customFormat="1" ht="31.5">
      <c r="A7" s="126" t="s">
        <v>2</v>
      </c>
      <c r="B7" s="127" t="s">
        <v>66</v>
      </c>
      <c r="C7" s="124"/>
      <c r="D7" s="124"/>
      <c r="E7" s="124"/>
      <c r="F7" s="152"/>
      <c r="G7" s="152"/>
      <c r="H7" s="181"/>
      <c r="I7" s="181"/>
      <c r="J7" s="601" t="s">
        <v>725</v>
      </c>
    </row>
    <row r="8" spans="1:10" s="171" customFormat="1" ht="15.75">
      <c r="A8" s="173" t="s">
        <v>28</v>
      </c>
      <c r="B8" s="174" t="s">
        <v>90</v>
      </c>
      <c r="C8" s="124"/>
      <c r="D8" s="124"/>
      <c r="E8" s="124"/>
      <c r="F8" s="152"/>
      <c r="G8" s="152"/>
      <c r="H8" s="152"/>
      <c r="I8" s="152"/>
      <c r="J8" s="602"/>
    </row>
    <row r="9" spans="1:10" s="171" customFormat="1" ht="15.75">
      <c r="A9" s="125">
        <v>1</v>
      </c>
      <c r="B9" s="124" t="s">
        <v>11</v>
      </c>
      <c r="C9" s="125" t="s">
        <v>12</v>
      </c>
      <c r="D9" s="454">
        <v>9.738666666666662E-4</v>
      </c>
      <c r="E9" s="175">
        <v>1.5E-3</v>
      </c>
      <c r="F9" s="152">
        <f>'II.3 ĐG DC'!J6</f>
        <v>6521.666666666667</v>
      </c>
      <c r="G9" s="152">
        <f>'II.3 ĐG DC'!K6</f>
        <v>6521.666666666667</v>
      </c>
      <c r="H9" s="182">
        <f t="shared" ref="H9:H17" si="0">D9*F9</f>
        <v>6.3512337777777752</v>
      </c>
      <c r="I9" s="182">
        <f t="shared" ref="I9:I17" si="1">E9*G9</f>
        <v>9.7825000000000006</v>
      </c>
      <c r="J9" s="602"/>
    </row>
    <row r="10" spans="1:10" s="171" customFormat="1" ht="15.75">
      <c r="A10" s="125">
        <v>2</v>
      </c>
      <c r="B10" s="124" t="s">
        <v>10</v>
      </c>
      <c r="C10" s="125" t="s">
        <v>4</v>
      </c>
      <c r="D10" s="454">
        <v>9.738666666666662E-4</v>
      </c>
      <c r="E10" s="175">
        <v>1.5E-3</v>
      </c>
      <c r="F10" s="152">
        <f>'II.3 ĐG DC'!J7</f>
        <v>944.44444444444446</v>
      </c>
      <c r="G10" s="152">
        <f>'II.3 ĐG DC'!K7</f>
        <v>944.44444444444446</v>
      </c>
      <c r="H10" s="182">
        <f t="shared" si="0"/>
        <v>0.91976296296296256</v>
      </c>
      <c r="I10" s="182">
        <f t="shared" si="1"/>
        <v>1.4166666666666667</v>
      </c>
      <c r="J10" s="602"/>
    </row>
    <row r="11" spans="1:10" s="171" customFormat="1" ht="15.75">
      <c r="A11" s="125">
        <v>3</v>
      </c>
      <c r="B11" s="124" t="s">
        <v>8</v>
      </c>
      <c r="C11" s="125" t="s">
        <v>7</v>
      </c>
      <c r="D11" s="454">
        <v>5.5940000000000004E-4</v>
      </c>
      <c r="E11" s="175">
        <v>8.0000000000000004E-4</v>
      </c>
      <c r="F11" s="152">
        <f>'II.3 ĐG DC'!J8</f>
        <v>2222.2222222222222</v>
      </c>
      <c r="G11" s="152">
        <f>'II.3 ĐG DC'!K8</f>
        <v>2222.2222222222222</v>
      </c>
      <c r="H11" s="182">
        <f t="shared" si="0"/>
        <v>1.2431111111111113</v>
      </c>
      <c r="I11" s="182">
        <f t="shared" si="1"/>
        <v>1.7777777777777779</v>
      </c>
      <c r="J11" s="602"/>
    </row>
    <row r="12" spans="1:10" s="171" customFormat="1" ht="15.75">
      <c r="A12" s="125">
        <v>4</v>
      </c>
      <c r="B12" s="124" t="s">
        <v>119</v>
      </c>
      <c r="C12" s="125" t="s">
        <v>7</v>
      </c>
      <c r="D12" s="454">
        <v>5.5940000000000004E-4</v>
      </c>
      <c r="E12" s="175">
        <v>8.0000000000000004E-4</v>
      </c>
      <c r="F12" s="152">
        <f>'II.3 ĐG DC'!J9</f>
        <v>1600</v>
      </c>
      <c r="G12" s="152">
        <f>'II.3 ĐG DC'!K9</f>
        <v>1600</v>
      </c>
      <c r="H12" s="182">
        <f t="shared" si="0"/>
        <v>0.89504000000000006</v>
      </c>
      <c r="I12" s="182">
        <f t="shared" si="1"/>
        <v>1.28</v>
      </c>
      <c r="J12" s="602"/>
    </row>
    <row r="13" spans="1:10" s="171" customFormat="1" ht="15.75">
      <c r="A13" s="125">
        <v>5</v>
      </c>
      <c r="B13" s="124" t="s">
        <v>6</v>
      </c>
      <c r="C13" s="125" t="s">
        <v>7</v>
      </c>
      <c r="D13" s="454">
        <v>5.5940000000000004E-4</v>
      </c>
      <c r="E13" s="175">
        <v>8.0000000000000004E-4</v>
      </c>
      <c r="F13" s="152">
        <f>'II.3 ĐG DC'!J10</f>
        <v>1600</v>
      </c>
      <c r="G13" s="152">
        <f>'II.3 ĐG DC'!K10</f>
        <v>1500</v>
      </c>
      <c r="H13" s="182">
        <f t="shared" si="0"/>
        <v>0.89504000000000006</v>
      </c>
      <c r="I13" s="182">
        <f t="shared" si="1"/>
        <v>1.2</v>
      </c>
      <c r="J13" s="602"/>
    </row>
    <row r="14" spans="1:10" s="171" customFormat="1" ht="15.75">
      <c r="A14" s="125">
        <v>6</v>
      </c>
      <c r="B14" s="124" t="s">
        <v>9</v>
      </c>
      <c r="C14" s="125" t="s">
        <v>4</v>
      </c>
      <c r="D14" s="454">
        <v>9.738666666666662E-4</v>
      </c>
      <c r="E14" s="175">
        <v>1.5E-3</v>
      </c>
      <c r="F14" s="152">
        <f>'II.3 ĐG DC'!J11</f>
        <v>3185</v>
      </c>
      <c r="G14" s="152">
        <f>'II.3 ĐG DC'!K11</f>
        <v>3185</v>
      </c>
      <c r="H14" s="182">
        <f t="shared" si="0"/>
        <v>3.1017653333333319</v>
      </c>
      <c r="I14" s="182">
        <f t="shared" si="1"/>
        <v>4.7774999999999999</v>
      </c>
      <c r="J14" s="602"/>
    </row>
    <row r="15" spans="1:10" s="171" customFormat="1" ht="15.75">
      <c r="A15" s="125">
        <v>7</v>
      </c>
      <c r="B15" s="124" t="s">
        <v>13</v>
      </c>
      <c r="C15" s="125" t="s">
        <v>4</v>
      </c>
      <c r="D15" s="454">
        <v>5.5940000000000004E-4</v>
      </c>
      <c r="E15" s="175">
        <v>8.0000000000000004E-4</v>
      </c>
      <c r="F15" s="152">
        <f>'II.3 ĐG DC'!J12</f>
        <v>1611.4583333333333</v>
      </c>
      <c r="G15" s="152">
        <f>'II.3 ĐG DC'!K12</f>
        <v>1611.4583333333333</v>
      </c>
      <c r="H15" s="182">
        <f t="shared" si="0"/>
        <v>0.90144979166666672</v>
      </c>
      <c r="I15" s="182">
        <f t="shared" si="1"/>
        <v>1.2891666666666666</v>
      </c>
      <c r="J15" s="602"/>
    </row>
    <row r="16" spans="1:10" s="171" customFormat="1" ht="15.75">
      <c r="A16" s="125">
        <v>8</v>
      </c>
      <c r="B16" s="124" t="s">
        <v>3</v>
      </c>
      <c r="C16" s="125" t="s">
        <v>4</v>
      </c>
      <c r="D16" s="454">
        <v>9.738666666666662E-4</v>
      </c>
      <c r="E16" s="175">
        <v>1.5E-3</v>
      </c>
      <c r="F16" s="152">
        <f>'II.3 ĐG DC'!J13</f>
        <v>492.91666666666669</v>
      </c>
      <c r="G16" s="152">
        <f>'II.3 ĐG DC'!K13</f>
        <v>492.91666666666669</v>
      </c>
      <c r="H16" s="182">
        <f t="shared" si="0"/>
        <v>0.48003511111111091</v>
      </c>
      <c r="I16" s="182">
        <f t="shared" si="1"/>
        <v>0.739375</v>
      </c>
      <c r="J16" s="602"/>
    </row>
    <row r="17" spans="1:10" s="171" customFormat="1" ht="15.75">
      <c r="A17" s="125">
        <v>9</v>
      </c>
      <c r="B17" s="124" t="s">
        <v>14</v>
      </c>
      <c r="C17" s="125" t="s">
        <v>7</v>
      </c>
      <c r="D17" s="454">
        <v>1.8739333333333331E-3</v>
      </c>
      <c r="E17" s="175">
        <v>1.5E-3</v>
      </c>
      <c r="F17" s="152">
        <f>'II.3 ĐG DC'!J14</f>
        <v>379.16666666666669</v>
      </c>
      <c r="G17" s="152">
        <f>'II.3 ĐG DC'!K14</f>
        <v>379.16666666666669</v>
      </c>
      <c r="H17" s="182">
        <f t="shared" si="0"/>
        <v>0.71053305555555546</v>
      </c>
      <c r="I17" s="182">
        <f t="shared" si="1"/>
        <v>0.56875000000000009</v>
      </c>
      <c r="J17" s="602"/>
    </row>
    <row r="18" spans="1:10" s="171" customFormat="1" ht="31.5">
      <c r="A18" s="173" t="s">
        <v>29</v>
      </c>
      <c r="B18" s="174" t="s">
        <v>66</v>
      </c>
      <c r="C18" s="124"/>
      <c r="D18" s="454"/>
      <c r="E18" s="175"/>
      <c r="F18" s="152"/>
      <c r="G18" s="152"/>
      <c r="H18" s="182"/>
      <c r="I18" s="182"/>
      <c r="J18" s="602"/>
    </row>
    <row r="19" spans="1:10" s="171" customFormat="1" ht="15.75">
      <c r="A19" s="125">
        <v>10</v>
      </c>
      <c r="B19" s="124" t="s">
        <v>11</v>
      </c>
      <c r="C19" s="125" t="s">
        <v>12</v>
      </c>
      <c r="D19" s="454">
        <v>5.2766666666666656E-3</v>
      </c>
      <c r="E19" s="175">
        <v>7.1999999999999998E-3</v>
      </c>
      <c r="F19" s="152">
        <f>F9</f>
        <v>6521.666666666667</v>
      </c>
      <c r="G19" s="152">
        <f>'II.3 ĐG DC'!K6</f>
        <v>6521.666666666667</v>
      </c>
      <c r="H19" s="182">
        <f t="shared" ref="H19:H34" si="2">D19*F19</f>
        <v>34.412661111111106</v>
      </c>
      <c r="I19" s="182">
        <f t="shared" ref="I19:I34" si="3">E19*G19</f>
        <v>46.956000000000003</v>
      </c>
      <c r="J19" s="602"/>
    </row>
    <row r="20" spans="1:10" s="171" customFormat="1" ht="15.75">
      <c r="A20" s="125">
        <v>11</v>
      </c>
      <c r="B20" s="124" t="s">
        <v>10</v>
      </c>
      <c r="C20" s="125" t="s">
        <v>4</v>
      </c>
      <c r="D20" s="454">
        <v>5.2766666666666656E-3</v>
      </c>
      <c r="E20" s="175">
        <v>7.1999999999999998E-3</v>
      </c>
      <c r="F20" s="152">
        <f t="shared" ref="F20:F27" si="4">F10</f>
        <v>944.44444444444446</v>
      </c>
      <c r="G20" s="152">
        <f>'II.3 ĐG DC'!K7</f>
        <v>944.44444444444446</v>
      </c>
      <c r="H20" s="182">
        <f t="shared" si="2"/>
        <v>4.983518518518518</v>
      </c>
      <c r="I20" s="182">
        <f t="shared" si="3"/>
        <v>6.8</v>
      </c>
      <c r="J20" s="602"/>
    </row>
    <row r="21" spans="1:10" s="171" customFormat="1" ht="15.75">
      <c r="A21" s="125">
        <v>13</v>
      </c>
      <c r="B21" s="124" t="s">
        <v>8</v>
      </c>
      <c r="C21" s="125" t="s">
        <v>7</v>
      </c>
      <c r="D21" s="454">
        <v>2.6550000000000002E-3</v>
      </c>
      <c r="E21" s="175">
        <v>3.5999999999999999E-3</v>
      </c>
      <c r="F21" s="152">
        <f t="shared" si="4"/>
        <v>2222.2222222222222</v>
      </c>
      <c r="G21" s="152">
        <f>'II.3 ĐG DC'!K8</f>
        <v>2222.2222222222222</v>
      </c>
      <c r="H21" s="182">
        <f t="shared" si="2"/>
        <v>5.9</v>
      </c>
      <c r="I21" s="182">
        <f t="shared" si="3"/>
        <v>8</v>
      </c>
      <c r="J21" s="602"/>
    </row>
    <row r="22" spans="1:10" s="171" customFormat="1" ht="15.75">
      <c r="A22" s="125">
        <v>14</v>
      </c>
      <c r="B22" s="124" t="s">
        <v>119</v>
      </c>
      <c r="C22" s="125" t="s">
        <v>7</v>
      </c>
      <c r="D22" s="454">
        <v>2.6550000000000002E-3</v>
      </c>
      <c r="E22" s="175">
        <v>3.5999999999999999E-3</v>
      </c>
      <c r="F22" s="152">
        <f t="shared" si="4"/>
        <v>1600</v>
      </c>
      <c r="G22" s="152">
        <f>'II.3 ĐG DC'!K9</f>
        <v>1600</v>
      </c>
      <c r="H22" s="182">
        <f t="shared" si="2"/>
        <v>4.2480000000000002</v>
      </c>
      <c r="I22" s="182">
        <f t="shared" si="3"/>
        <v>5.76</v>
      </c>
      <c r="J22" s="602"/>
    </row>
    <row r="23" spans="1:10" s="171" customFormat="1" ht="15.75">
      <c r="A23" s="125">
        <v>15</v>
      </c>
      <c r="B23" s="124" t="s">
        <v>6</v>
      </c>
      <c r="C23" s="125" t="s">
        <v>7</v>
      </c>
      <c r="D23" s="454">
        <v>2.6550000000000002E-3</v>
      </c>
      <c r="E23" s="175">
        <v>3.5999999999999999E-3</v>
      </c>
      <c r="F23" s="152">
        <f t="shared" si="4"/>
        <v>1600</v>
      </c>
      <c r="G23" s="152">
        <f>'II.3 ĐG DC'!K10</f>
        <v>1500</v>
      </c>
      <c r="H23" s="182">
        <f t="shared" si="2"/>
        <v>4.2480000000000002</v>
      </c>
      <c r="I23" s="182">
        <f t="shared" si="3"/>
        <v>5.3999999999999995</v>
      </c>
      <c r="J23" s="602"/>
    </row>
    <row r="24" spans="1:10" s="171" customFormat="1" ht="15.75">
      <c r="A24" s="125">
        <v>16</v>
      </c>
      <c r="B24" s="124" t="s">
        <v>9</v>
      </c>
      <c r="C24" s="125" t="s">
        <v>4</v>
      </c>
      <c r="D24" s="454">
        <v>5.2766666666666656E-3</v>
      </c>
      <c r="E24" s="175">
        <v>7.1999999999999998E-3</v>
      </c>
      <c r="F24" s="152">
        <f t="shared" si="4"/>
        <v>3185</v>
      </c>
      <c r="G24" s="152">
        <f>'II.3 ĐG DC'!K11</f>
        <v>3185</v>
      </c>
      <c r="H24" s="182">
        <f t="shared" si="2"/>
        <v>16.80618333333333</v>
      </c>
      <c r="I24" s="182">
        <f t="shared" si="3"/>
        <v>22.931999999999999</v>
      </c>
      <c r="J24" s="602"/>
    </row>
    <row r="25" spans="1:10" s="171" customFormat="1" ht="15.75">
      <c r="A25" s="125">
        <v>17</v>
      </c>
      <c r="B25" s="124" t="s">
        <v>13</v>
      </c>
      <c r="C25" s="125" t="s">
        <v>4</v>
      </c>
      <c r="D25" s="454">
        <v>2.6550000000000002E-3</v>
      </c>
      <c r="E25" s="175">
        <v>3.5999999999999999E-3</v>
      </c>
      <c r="F25" s="152">
        <f t="shared" si="4"/>
        <v>1611.4583333333333</v>
      </c>
      <c r="G25" s="152">
        <f>'II.3 ĐG DC'!K12</f>
        <v>1611.4583333333333</v>
      </c>
      <c r="H25" s="182">
        <f t="shared" si="2"/>
        <v>4.2784218750000003</v>
      </c>
      <c r="I25" s="182">
        <f t="shared" si="3"/>
        <v>5.8012499999999996</v>
      </c>
      <c r="J25" s="602"/>
    </row>
    <row r="26" spans="1:10" s="171" customFormat="1" ht="15.75">
      <c r="A26" s="125">
        <v>18</v>
      </c>
      <c r="B26" s="124" t="s">
        <v>3</v>
      </c>
      <c r="C26" s="125" t="s">
        <v>4</v>
      </c>
      <c r="D26" s="454">
        <v>5.2766666666666656E-3</v>
      </c>
      <c r="E26" s="175">
        <v>7.1999999999999998E-3</v>
      </c>
      <c r="F26" s="152">
        <f t="shared" si="4"/>
        <v>492.91666666666669</v>
      </c>
      <c r="G26" s="152">
        <f>'II.3 ĐG DC'!K13</f>
        <v>492.91666666666669</v>
      </c>
      <c r="H26" s="182">
        <f t="shared" si="2"/>
        <v>2.600956944444444</v>
      </c>
      <c r="I26" s="182">
        <f t="shared" si="3"/>
        <v>3.5489999999999999</v>
      </c>
      <c r="J26" s="602"/>
    </row>
    <row r="27" spans="1:10" s="179" customFormat="1" ht="15.75">
      <c r="A27" s="176">
        <v>19</v>
      </c>
      <c r="B27" s="177" t="s">
        <v>14</v>
      </c>
      <c r="C27" s="176" t="s">
        <v>7</v>
      </c>
      <c r="D27" s="455">
        <v>2.6550000000000002E-3</v>
      </c>
      <c r="E27" s="447">
        <v>3.5999999999999999E-3</v>
      </c>
      <c r="F27" s="183">
        <f t="shared" si="4"/>
        <v>379.16666666666669</v>
      </c>
      <c r="G27" s="152">
        <f>'II.3 ĐG DC'!K14</f>
        <v>379.16666666666669</v>
      </c>
      <c r="H27" s="182">
        <f t="shared" si="2"/>
        <v>1.0066875000000002</v>
      </c>
      <c r="I27" s="182">
        <f t="shared" si="3"/>
        <v>1.365</v>
      </c>
      <c r="J27" s="602"/>
    </row>
    <row r="28" spans="1:10" s="171" customFormat="1" ht="15.75">
      <c r="A28" s="125">
        <v>20</v>
      </c>
      <c r="B28" s="124" t="s">
        <v>5</v>
      </c>
      <c r="C28" s="125" t="s">
        <v>4</v>
      </c>
      <c r="D28" s="454">
        <v>1.3547999999999998E-3</v>
      </c>
      <c r="E28" s="175">
        <v>5.0000000000000001E-3</v>
      </c>
      <c r="F28" s="152">
        <f>'II.3 ĐG DC'!J15</f>
        <v>198.33333333333334</v>
      </c>
      <c r="G28" s="152">
        <f>'II.3 ĐG DC'!K15</f>
        <v>99.166666666666671</v>
      </c>
      <c r="H28" s="182">
        <f t="shared" si="2"/>
        <v>0.26870199999999994</v>
      </c>
      <c r="I28" s="182">
        <f t="shared" si="3"/>
        <v>0.49583333333333335</v>
      </c>
      <c r="J28" s="602"/>
    </row>
    <row r="29" spans="1:10" s="171" customFormat="1" ht="15.75">
      <c r="A29" s="125">
        <v>21</v>
      </c>
      <c r="B29" s="124" t="s">
        <v>15</v>
      </c>
      <c r="C29" s="125" t="s">
        <v>4</v>
      </c>
      <c r="D29" s="454">
        <v>3.6323600000000003E-3</v>
      </c>
      <c r="E29" s="175">
        <v>5.0000000000000001E-3</v>
      </c>
      <c r="F29" s="152">
        <f>'II.3 ĐG DC'!J16</f>
        <v>172.08333333333334</v>
      </c>
      <c r="G29" s="152">
        <f>'II.3 ĐG DC'!K16</f>
        <v>344.16666666666669</v>
      </c>
      <c r="H29" s="182">
        <f t="shared" si="2"/>
        <v>0.6250686166666668</v>
      </c>
      <c r="I29" s="182">
        <f t="shared" si="3"/>
        <v>1.7208333333333334</v>
      </c>
      <c r="J29" s="602"/>
    </row>
    <row r="30" spans="1:10" s="171" customFormat="1" ht="15.75">
      <c r="A30" s="125">
        <v>22</v>
      </c>
      <c r="B30" s="124" t="s">
        <v>120</v>
      </c>
      <c r="C30" s="125" t="s">
        <v>4</v>
      </c>
      <c r="D30" s="454">
        <v>3.6323600000000003E-3</v>
      </c>
      <c r="E30" s="175">
        <v>5.0000000000000001E-3</v>
      </c>
      <c r="F30" s="152">
        <f>'II.3 ĐG DC'!J17</f>
        <v>341.25</v>
      </c>
      <c r="G30" s="152">
        <f>'II.3 ĐG DC'!K17</f>
        <v>180.55555555555554</v>
      </c>
      <c r="H30" s="182">
        <f t="shared" si="2"/>
        <v>1.2395428500000001</v>
      </c>
      <c r="I30" s="182">
        <f t="shared" si="3"/>
        <v>0.90277777777777768</v>
      </c>
      <c r="J30" s="602"/>
    </row>
    <row r="31" spans="1:10" s="171" customFormat="1" ht="15.75">
      <c r="A31" s="125">
        <v>23</v>
      </c>
      <c r="B31" s="124" t="s">
        <v>121</v>
      </c>
      <c r="C31" s="125" t="s">
        <v>4</v>
      </c>
      <c r="D31" s="454">
        <v>5.2766666666666656E-3</v>
      </c>
      <c r="E31" s="175">
        <v>7.1999999999999998E-3</v>
      </c>
      <c r="F31" s="152">
        <f>'II.3 ĐG DC'!J18</f>
        <v>2119.5416666666665</v>
      </c>
      <c r="G31" s="152">
        <f>'II.3 ĐG DC'!K18</f>
        <v>1902.7777777777778</v>
      </c>
      <c r="H31" s="182">
        <f t="shared" si="2"/>
        <v>11.184114861111109</v>
      </c>
      <c r="I31" s="182">
        <f t="shared" si="3"/>
        <v>13.7</v>
      </c>
      <c r="J31" s="602"/>
    </row>
    <row r="32" spans="1:10" s="171" customFormat="1" ht="15.75">
      <c r="A32" s="125">
        <v>24</v>
      </c>
      <c r="B32" s="124" t="s">
        <v>122</v>
      </c>
      <c r="C32" s="125" t="s">
        <v>4</v>
      </c>
      <c r="D32" s="454">
        <v>5.2766666666666656E-3</v>
      </c>
      <c r="E32" s="175">
        <v>7.1999999999999998E-3</v>
      </c>
      <c r="F32" s="152">
        <f>'II.3 ĐG DC'!J19</f>
        <v>379.16666666666669</v>
      </c>
      <c r="G32" s="152">
        <f>'II.3 ĐG DC'!K19</f>
        <v>9722.2222222222226</v>
      </c>
      <c r="H32" s="182">
        <f t="shared" si="2"/>
        <v>2.0007361111111108</v>
      </c>
      <c r="I32" s="182">
        <f t="shared" si="3"/>
        <v>70</v>
      </c>
      <c r="J32" s="602"/>
    </row>
    <row r="33" spans="1:10" s="171" customFormat="1" ht="15.75">
      <c r="A33" s="125">
        <v>25</v>
      </c>
      <c r="B33" s="124" t="s">
        <v>123</v>
      </c>
      <c r="C33" s="125" t="s">
        <v>4</v>
      </c>
      <c r="D33" s="454">
        <v>5.2766666666666656E-3</v>
      </c>
      <c r="E33" s="175">
        <v>7.1999999999999998E-3</v>
      </c>
      <c r="F33" s="152">
        <f>'II.3 ĐG DC'!J20</f>
        <v>4239.083333333333</v>
      </c>
      <c r="G33" s="152">
        <f>'II.3 ĐG DC'!K20</f>
        <v>208.33333333333334</v>
      </c>
      <c r="H33" s="182">
        <f t="shared" si="2"/>
        <v>22.368229722222218</v>
      </c>
      <c r="I33" s="182">
        <f t="shared" si="3"/>
        <v>1.5</v>
      </c>
      <c r="J33" s="602"/>
    </row>
    <row r="34" spans="1:10" s="171" customFormat="1" ht="15.75">
      <c r="A34" s="125">
        <v>26</v>
      </c>
      <c r="B34" s="124" t="s">
        <v>124</v>
      </c>
      <c r="C34" s="125" t="s">
        <v>4</v>
      </c>
      <c r="D34" s="454">
        <v>9.0726000000000001E-3</v>
      </c>
      <c r="E34" s="175">
        <v>7.1999999999999998E-3</v>
      </c>
      <c r="F34" s="152">
        <f>'II.3 ĐG DC'!J21</f>
        <v>21666.666666666668</v>
      </c>
      <c r="G34" s="152">
        <f>'II.3 ĐG DC'!K21</f>
        <v>638.88888888888891</v>
      </c>
      <c r="H34" s="182">
        <f t="shared" si="2"/>
        <v>196.57300000000001</v>
      </c>
      <c r="I34" s="182">
        <f t="shared" si="3"/>
        <v>4.5999999999999996</v>
      </c>
      <c r="J34" s="602"/>
    </row>
    <row r="35" spans="1:10" s="171" customFormat="1" ht="47.25">
      <c r="A35" s="173" t="s">
        <v>125</v>
      </c>
      <c r="B35" s="174" t="s">
        <v>69</v>
      </c>
      <c r="C35" s="124"/>
      <c r="D35" s="454"/>
      <c r="E35" s="175"/>
      <c r="F35" s="152"/>
      <c r="G35" s="152"/>
      <c r="H35" s="182"/>
      <c r="I35" s="182"/>
      <c r="J35" s="602"/>
    </row>
    <row r="36" spans="1:10" s="171" customFormat="1" ht="15.75">
      <c r="A36" s="125">
        <v>27</v>
      </c>
      <c r="B36" s="124" t="s">
        <v>11</v>
      </c>
      <c r="C36" s="125" t="s">
        <v>12</v>
      </c>
      <c r="D36" s="454">
        <v>9.738666666666662E-4</v>
      </c>
      <c r="E36" s="175">
        <v>1.5E-3</v>
      </c>
      <c r="F36" s="152">
        <f>F19</f>
        <v>6521.666666666667</v>
      </c>
      <c r="G36" s="152">
        <f>'II.3 ĐG DC'!K6</f>
        <v>6521.666666666667</v>
      </c>
      <c r="H36" s="182">
        <f t="shared" ref="H36:H44" si="5">D36*F36</f>
        <v>6.3512337777777752</v>
      </c>
      <c r="I36" s="182">
        <f t="shared" ref="I36:I44" si="6">E36*G36</f>
        <v>9.7825000000000006</v>
      </c>
      <c r="J36" s="602"/>
    </row>
    <row r="37" spans="1:10" s="171" customFormat="1" ht="15.75">
      <c r="A37" s="125">
        <v>28</v>
      </c>
      <c r="B37" s="124" t="s">
        <v>10</v>
      </c>
      <c r="C37" s="125" t="s">
        <v>4</v>
      </c>
      <c r="D37" s="454">
        <v>9.738666666666662E-4</v>
      </c>
      <c r="E37" s="175">
        <v>1.5E-3</v>
      </c>
      <c r="F37" s="152">
        <f t="shared" ref="F37:F44" si="7">F20</f>
        <v>944.44444444444446</v>
      </c>
      <c r="G37" s="152">
        <f>'II.3 ĐG DC'!K7</f>
        <v>944.44444444444446</v>
      </c>
      <c r="H37" s="182">
        <f t="shared" si="5"/>
        <v>0.91976296296296256</v>
      </c>
      <c r="I37" s="182">
        <f t="shared" si="6"/>
        <v>1.4166666666666667</v>
      </c>
      <c r="J37" s="602"/>
    </row>
    <row r="38" spans="1:10" s="171" customFormat="1" ht="15.75">
      <c r="A38" s="125">
        <v>29</v>
      </c>
      <c r="B38" s="124" t="s">
        <v>8</v>
      </c>
      <c r="C38" s="125" t="s">
        <v>7</v>
      </c>
      <c r="D38" s="454">
        <v>5.5940000000000004E-4</v>
      </c>
      <c r="E38" s="175">
        <v>8.0000000000000004E-4</v>
      </c>
      <c r="F38" s="152">
        <f t="shared" si="7"/>
        <v>2222.2222222222222</v>
      </c>
      <c r="G38" s="152">
        <f>'II.3 ĐG DC'!K8</f>
        <v>2222.2222222222222</v>
      </c>
      <c r="H38" s="182">
        <f t="shared" si="5"/>
        <v>1.2431111111111113</v>
      </c>
      <c r="I38" s="182">
        <f t="shared" si="6"/>
        <v>1.7777777777777779</v>
      </c>
      <c r="J38" s="602"/>
    </row>
    <row r="39" spans="1:10" s="171" customFormat="1" ht="15.75">
      <c r="A39" s="125">
        <v>30</v>
      </c>
      <c r="B39" s="124" t="s">
        <v>119</v>
      </c>
      <c r="C39" s="125" t="s">
        <v>7</v>
      </c>
      <c r="D39" s="454">
        <v>5.5940000000000004E-4</v>
      </c>
      <c r="E39" s="175">
        <v>8.0000000000000004E-4</v>
      </c>
      <c r="F39" s="152">
        <f t="shared" si="7"/>
        <v>1600</v>
      </c>
      <c r="G39" s="152">
        <f>'II.3 ĐG DC'!K9</f>
        <v>1600</v>
      </c>
      <c r="H39" s="182">
        <f t="shared" si="5"/>
        <v>0.89504000000000006</v>
      </c>
      <c r="I39" s="182">
        <f t="shared" si="6"/>
        <v>1.28</v>
      </c>
      <c r="J39" s="602"/>
    </row>
    <row r="40" spans="1:10" s="171" customFormat="1" ht="15.75">
      <c r="A40" s="125">
        <v>31</v>
      </c>
      <c r="B40" s="124" t="s">
        <v>6</v>
      </c>
      <c r="C40" s="125" t="s">
        <v>7</v>
      </c>
      <c r="D40" s="454">
        <v>5.5940000000000004E-4</v>
      </c>
      <c r="E40" s="175">
        <v>8.0000000000000004E-4</v>
      </c>
      <c r="F40" s="152">
        <f t="shared" si="7"/>
        <v>1600</v>
      </c>
      <c r="G40" s="152">
        <f>'II.3 ĐG DC'!K10</f>
        <v>1500</v>
      </c>
      <c r="H40" s="182">
        <f t="shared" si="5"/>
        <v>0.89504000000000006</v>
      </c>
      <c r="I40" s="182">
        <f t="shared" si="6"/>
        <v>1.2</v>
      </c>
      <c r="J40" s="602"/>
    </row>
    <row r="41" spans="1:10" s="171" customFormat="1" ht="15.75">
      <c r="A41" s="125">
        <v>32</v>
      </c>
      <c r="B41" s="124" t="s">
        <v>9</v>
      </c>
      <c r="C41" s="125" t="s">
        <v>4</v>
      </c>
      <c r="D41" s="454">
        <v>9.738666666666662E-4</v>
      </c>
      <c r="E41" s="175">
        <v>1.5E-3</v>
      </c>
      <c r="F41" s="152">
        <f t="shared" si="7"/>
        <v>3185</v>
      </c>
      <c r="G41" s="152">
        <f>'II.3 ĐG DC'!K11</f>
        <v>3185</v>
      </c>
      <c r="H41" s="182">
        <f t="shared" si="5"/>
        <v>3.1017653333333319</v>
      </c>
      <c r="I41" s="182">
        <f t="shared" si="6"/>
        <v>4.7774999999999999</v>
      </c>
      <c r="J41" s="602"/>
    </row>
    <row r="42" spans="1:10" s="171" customFormat="1" ht="15.75">
      <c r="A42" s="125">
        <v>33</v>
      </c>
      <c r="B42" s="124" t="s">
        <v>13</v>
      </c>
      <c r="C42" s="125" t="s">
        <v>4</v>
      </c>
      <c r="D42" s="454">
        <v>5.5940000000000004E-4</v>
      </c>
      <c r="E42" s="175">
        <v>8.0000000000000004E-4</v>
      </c>
      <c r="F42" s="152">
        <f t="shared" si="7"/>
        <v>1611.4583333333333</v>
      </c>
      <c r="G42" s="152">
        <f>'II.3 ĐG DC'!K12</f>
        <v>1611.4583333333333</v>
      </c>
      <c r="H42" s="182">
        <f t="shared" si="5"/>
        <v>0.90144979166666672</v>
      </c>
      <c r="I42" s="182">
        <f t="shared" si="6"/>
        <v>1.2891666666666666</v>
      </c>
      <c r="J42" s="602"/>
    </row>
    <row r="43" spans="1:10" s="171" customFormat="1" ht="15.75">
      <c r="A43" s="125">
        <v>34</v>
      </c>
      <c r="B43" s="124" t="s">
        <v>3</v>
      </c>
      <c r="C43" s="125" t="s">
        <v>4</v>
      </c>
      <c r="D43" s="454">
        <v>9.738666666666662E-4</v>
      </c>
      <c r="E43" s="175">
        <v>1.5E-3</v>
      </c>
      <c r="F43" s="152">
        <f t="shared" si="7"/>
        <v>492.91666666666669</v>
      </c>
      <c r="G43" s="152">
        <f>'II.3 ĐG DC'!K13</f>
        <v>492.91666666666669</v>
      </c>
      <c r="H43" s="182">
        <f t="shared" si="5"/>
        <v>0.48003511111111091</v>
      </c>
      <c r="I43" s="182">
        <f t="shared" si="6"/>
        <v>0.739375</v>
      </c>
      <c r="J43" s="602"/>
    </row>
    <row r="44" spans="1:10" s="171" customFormat="1" ht="15.75">
      <c r="A44" s="125">
        <v>35</v>
      </c>
      <c r="B44" s="124" t="s">
        <v>14</v>
      </c>
      <c r="C44" s="125" t="s">
        <v>7</v>
      </c>
      <c r="D44" s="454">
        <v>5.5940000000000004E-4</v>
      </c>
      <c r="E44" s="175">
        <v>8.0000000000000004E-4</v>
      </c>
      <c r="F44" s="152">
        <f t="shared" si="7"/>
        <v>379.16666666666669</v>
      </c>
      <c r="G44" s="152">
        <f>'II.3 ĐG DC'!K14</f>
        <v>379.16666666666669</v>
      </c>
      <c r="H44" s="182">
        <f t="shared" si="5"/>
        <v>0.21210583333333335</v>
      </c>
      <c r="I44" s="182">
        <f t="shared" si="6"/>
        <v>0.30333333333333334</v>
      </c>
      <c r="J44" s="602"/>
    </row>
    <row r="45" spans="1:10" s="171" customFormat="1" ht="78.75">
      <c r="A45" s="173" t="s">
        <v>126</v>
      </c>
      <c r="B45" s="174" t="s">
        <v>71</v>
      </c>
      <c r="C45" s="124"/>
      <c r="D45" s="454"/>
      <c r="E45" s="175"/>
      <c r="F45" s="152"/>
      <c r="G45" s="152"/>
      <c r="H45" s="182"/>
      <c r="I45" s="182"/>
      <c r="J45" s="602"/>
    </row>
    <row r="46" spans="1:10" s="171" customFormat="1" ht="15.75">
      <c r="A46" s="125">
        <v>36</v>
      </c>
      <c r="B46" s="124" t="s">
        <v>11</v>
      </c>
      <c r="C46" s="125" t="s">
        <v>12</v>
      </c>
      <c r="D46" s="454">
        <v>5.6086666666666646E-4</v>
      </c>
      <c r="E46" s="175">
        <v>5.9999999999999995E-4</v>
      </c>
      <c r="F46" s="152">
        <f>F19</f>
        <v>6521.666666666667</v>
      </c>
      <c r="G46" s="152">
        <f>'II.3 ĐG DC'!K6</f>
        <v>6521.666666666667</v>
      </c>
      <c r="H46" s="182">
        <f t="shared" ref="H46:H54" si="8">D46*F46</f>
        <v>3.6577854444444431</v>
      </c>
      <c r="I46" s="182">
        <f t="shared" ref="I46:I54" si="9">E46*G46</f>
        <v>3.9129999999999998</v>
      </c>
      <c r="J46" s="602"/>
    </row>
    <row r="47" spans="1:10" s="171" customFormat="1" ht="15.75">
      <c r="A47" s="125">
        <v>37</v>
      </c>
      <c r="B47" s="124" t="s">
        <v>10</v>
      </c>
      <c r="C47" s="125" t="s">
        <v>4</v>
      </c>
      <c r="D47" s="454">
        <v>5.6086666666666646E-4</v>
      </c>
      <c r="E47" s="175">
        <v>5.9999999999999995E-4</v>
      </c>
      <c r="F47" s="152">
        <f t="shared" ref="F47:F54" si="10">F20</f>
        <v>944.44444444444446</v>
      </c>
      <c r="G47" s="152">
        <f>'II.3 ĐG DC'!K7</f>
        <v>944.44444444444446</v>
      </c>
      <c r="H47" s="182">
        <f t="shared" si="8"/>
        <v>0.52970740740740718</v>
      </c>
      <c r="I47" s="182">
        <f t="shared" si="9"/>
        <v>0.56666666666666665</v>
      </c>
      <c r="J47" s="602"/>
    </row>
    <row r="48" spans="1:10" s="171" customFormat="1" ht="15.75">
      <c r="A48" s="125">
        <v>38</v>
      </c>
      <c r="B48" s="124" t="s">
        <v>8</v>
      </c>
      <c r="C48" s="125" t="s">
        <v>7</v>
      </c>
      <c r="D48" s="454">
        <v>2.7651999999999993E-4</v>
      </c>
      <c r="E48" s="175">
        <v>2.9999999999999997E-4</v>
      </c>
      <c r="F48" s="152">
        <f t="shared" si="10"/>
        <v>2222.2222222222222</v>
      </c>
      <c r="G48" s="152">
        <f>'II.3 ĐG DC'!K8</f>
        <v>2222.2222222222222</v>
      </c>
      <c r="H48" s="182">
        <f t="shared" si="8"/>
        <v>0.61448888888888875</v>
      </c>
      <c r="I48" s="182">
        <f t="shared" si="9"/>
        <v>0.66666666666666663</v>
      </c>
      <c r="J48" s="602"/>
    </row>
    <row r="49" spans="1:10" s="171" customFormat="1" ht="15.75">
      <c r="A49" s="125">
        <v>39</v>
      </c>
      <c r="B49" s="124" t="s">
        <v>119</v>
      </c>
      <c r="C49" s="125" t="s">
        <v>7</v>
      </c>
      <c r="D49" s="454">
        <v>2.7651999999999993E-4</v>
      </c>
      <c r="E49" s="175">
        <v>2.9999999999999997E-4</v>
      </c>
      <c r="F49" s="152">
        <f t="shared" si="10"/>
        <v>1600</v>
      </c>
      <c r="G49" s="152">
        <f>'II.3 ĐG DC'!K9</f>
        <v>1600</v>
      </c>
      <c r="H49" s="182">
        <f t="shared" si="8"/>
        <v>0.44243199999999988</v>
      </c>
      <c r="I49" s="182">
        <f t="shared" si="9"/>
        <v>0.48</v>
      </c>
      <c r="J49" s="602"/>
    </row>
    <row r="50" spans="1:10" s="171" customFormat="1" ht="15.75">
      <c r="A50" s="125">
        <v>40</v>
      </c>
      <c r="B50" s="124" t="s">
        <v>6</v>
      </c>
      <c r="C50" s="125" t="s">
        <v>7</v>
      </c>
      <c r="D50" s="454">
        <v>2.7651999999999993E-4</v>
      </c>
      <c r="E50" s="175">
        <v>2.9999999999999997E-4</v>
      </c>
      <c r="F50" s="152">
        <f t="shared" si="10"/>
        <v>1600</v>
      </c>
      <c r="G50" s="152">
        <f>'II.3 ĐG DC'!K10</f>
        <v>1500</v>
      </c>
      <c r="H50" s="182">
        <f t="shared" si="8"/>
        <v>0.44243199999999988</v>
      </c>
      <c r="I50" s="182">
        <f t="shared" si="9"/>
        <v>0.44999999999999996</v>
      </c>
      <c r="J50" s="602"/>
    </row>
    <row r="51" spans="1:10" s="171" customFormat="1" ht="15.75">
      <c r="A51" s="125">
        <v>41</v>
      </c>
      <c r="B51" s="124" t="s">
        <v>9</v>
      </c>
      <c r="C51" s="125" t="s">
        <v>4</v>
      </c>
      <c r="D51" s="454">
        <v>5.6086666666666646E-4</v>
      </c>
      <c r="E51" s="175">
        <v>5.9999999999999995E-4</v>
      </c>
      <c r="F51" s="152">
        <f t="shared" si="10"/>
        <v>3185</v>
      </c>
      <c r="G51" s="152">
        <f>'II.3 ĐG DC'!K11</f>
        <v>3185</v>
      </c>
      <c r="H51" s="182">
        <f t="shared" si="8"/>
        <v>1.7863603333333327</v>
      </c>
      <c r="I51" s="182">
        <f t="shared" si="9"/>
        <v>1.9109999999999998</v>
      </c>
      <c r="J51" s="602"/>
    </row>
    <row r="52" spans="1:10" s="171" customFormat="1" ht="15.75">
      <c r="A52" s="125">
        <v>42</v>
      </c>
      <c r="B52" s="124" t="s">
        <v>13</v>
      </c>
      <c r="C52" s="125" t="s">
        <v>4</v>
      </c>
      <c r="D52" s="454">
        <v>2.7651999999999993E-4</v>
      </c>
      <c r="E52" s="175">
        <v>2.9999999999999997E-4</v>
      </c>
      <c r="F52" s="152">
        <f t="shared" si="10"/>
        <v>1611.4583333333333</v>
      </c>
      <c r="G52" s="152">
        <f>'II.3 ĐG DC'!K12</f>
        <v>1611.4583333333333</v>
      </c>
      <c r="H52" s="182">
        <f t="shared" si="8"/>
        <v>0.44560045833333323</v>
      </c>
      <c r="I52" s="182">
        <f t="shared" si="9"/>
        <v>0.48343749999999991</v>
      </c>
      <c r="J52" s="602"/>
    </row>
    <row r="53" spans="1:10" s="171" customFormat="1" ht="15.75">
      <c r="A53" s="125">
        <v>43</v>
      </c>
      <c r="B53" s="124" t="s">
        <v>3</v>
      </c>
      <c r="C53" s="125" t="s">
        <v>4</v>
      </c>
      <c r="D53" s="454">
        <v>5.6086666666666646E-4</v>
      </c>
      <c r="E53" s="175">
        <v>5.9999999999999995E-4</v>
      </c>
      <c r="F53" s="152">
        <f t="shared" si="10"/>
        <v>492.91666666666669</v>
      </c>
      <c r="G53" s="152">
        <f>'II.3 ĐG DC'!K13</f>
        <v>492.91666666666669</v>
      </c>
      <c r="H53" s="182">
        <f t="shared" si="8"/>
        <v>0.27646052777777769</v>
      </c>
      <c r="I53" s="182">
        <f t="shared" si="9"/>
        <v>0.29575000000000001</v>
      </c>
      <c r="J53" s="602"/>
    </row>
    <row r="54" spans="1:10" s="171" customFormat="1" ht="15.75">
      <c r="A54" s="125">
        <v>44</v>
      </c>
      <c r="B54" s="124" t="s">
        <v>14</v>
      </c>
      <c r="C54" s="125" t="s">
        <v>7</v>
      </c>
      <c r="D54" s="454">
        <v>2.7651999999999993E-4</v>
      </c>
      <c r="E54" s="175">
        <v>2.9999999999999997E-4</v>
      </c>
      <c r="F54" s="152">
        <f t="shared" si="10"/>
        <v>379.16666666666669</v>
      </c>
      <c r="G54" s="152">
        <f>'II.3 ĐG DC'!K14</f>
        <v>379.16666666666669</v>
      </c>
      <c r="H54" s="182">
        <f t="shared" si="8"/>
        <v>0.10484716666666664</v>
      </c>
      <c r="I54" s="182">
        <f t="shared" si="9"/>
        <v>0.11374999999999999</v>
      </c>
      <c r="J54" s="602"/>
    </row>
    <row r="55" spans="1:10" s="171" customFormat="1" ht="31.5">
      <c r="A55" s="126" t="s">
        <v>16</v>
      </c>
      <c r="B55" s="127" t="s">
        <v>73</v>
      </c>
      <c r="C55" s="124"/>
      <c r="D55" s="454"/>
      <c r="E55" s="175"/>
      <c r="F55" s="152"/>
      <c r="G55" s="152"/>
      <c r="H55" s="182"/>
      <c r="I55" s="182"/>
      <c r="J55" s="602"/>
    </row>
    <row r="56" spans="1:10" s="171" customFormat="1" ht="47.25">
      <c r="A56" s="173" t="s">
        <v>47</v>
      </c>
      <c r="B56" s="174" t="s">
        <v>129</v>
      </c>
      <c r="C56" s="124"/>
      <c r="D56" s="454"/>
      <c r="E56" s="175"/>
      <c r="F56" s="152"/>
      <c r="G56" s="152"/>
      <c r="H56" s="182"/>
      <c r="I56" s="182"/>
      <c r="J56" s="602"/>
    </row>
    <row r="57" spans="1:10" s="171" customFormat="1" ht="15.75">
      <c r="A57" s="125">
        <v>45</v>
      </c>
      <c r="B57" s="124" t="s">
        <v>11</v>
      </c>
      <c r="C57" s="125" t="s">
        <v>12</v>
      </c>
      <c r="D57" s="454">
        <v>2.1795599999999995E-2</v>
      </c>
      <c r="E57" s="175">
        <v>2.2499999999999999E-2</v>
      </c>
      <c r="F57" s="152">
        <f>F19</f>
        <v>6521.666666666667</v>
      </c>
      <c r="G57" s="152">
        <f>'II.3 ĐG DC'!K6</f>
        <v>6521.666666666667</v>
      </c>
      <c r="H57" s="182">
        <f t="shared" ref="H57:H72" si="11">D57*F57</f>
        <v>142.14363799999998</v>
      </c>
      <c r="I57" s="182">
        <f t="shared" ref="I57:I72" si="12">E57*G57</f>
        <v>146.73750000000001</v>
      </c>
      <c r="J57" s="602"/>
    </row>
    <row r="58" spans="1:10" s="171" customFormat="1" ht="15.75">
      <c r="A58" s="125">
        <v>46</v>
      </c>
      <c r="B58" s="124" t="s">
        <v>10</v>
      </c>
      <c r="C58" s="125" t="s">
        <v>4</v>
      </c>
      <c r="D58" s="454">
        <v>2.1795599999999995E-2</v>
      </c>
      <c r="E58" s="175">
        <v>2.2499999999999999E-2</v>
      </c>
      <c r="F58" s="152">
        <f t="shared" ref="F58:F72" si="13">F20</f>
        <v>944.44444444444446</v>
      </c>
      <c r="G58" s="152">
        <f>'II.3 ĐG DC'!K7</f>
        <v>944.44444444444446</v>
      </c>
      <c r="H58" s="182">
        <f t="shared" si="11"/>
        <v>20.584733333333329</v>
      </c>
      <c r="I58" s="182">
        <f t="shared" si="12"/>
        <v>21.25</v>
      </c>
      <c r="J58" s="602"/>
    </row>
    <row r="59" spans="1:10" s="171" customFormat="1" ht="15.75">
      <c r="A59" s="125">
        <v>47</v>
      </c>
      <c r="B59" s="124" t="s">
        <v>8</v>
      </c>
      <c r="C59" s="125" t="s">
        <v>7</v>
      </c>
      <c r="D59" s="454">
        <v>1.0986933333333332E-2</v>
      </c>
      <c r="E59" s="175">
        <v>1.1299999999999999E-2</v>
      </c>
      <c r="F59" s="152">
        <f t="shared" si="13"/>
        <v>2222.2222222222222</v>
      </c>
      <c r="G59" s="152">
        <f>'II.3 ĐG DC'!K8</f>
        <v>2222.2222222222222</v>
      </c>
      <c r="H59" s="182">
        <f t="shared" si="11"/>
        <v>24.415407407407404</v>
      </c>
      <c r="I59" s="182">
        <f t="shared" si="12"/>
        <v>25.111111111111111</v>
      </c>
      <c r="J59" s="602"/>
    </row>
    <row r="60" spans="1:10" s="171" customFormat="1" ht="15.75">
      <c r="A60" s="125">
        <v>48</v>
      </c>
      <c r="B60" s="124" t="s">
        <v>119</v>
      </c>
      <c r="C60" s="125" t="s">
        <v>7</v>
      </c>
      <c r="D60" s="454">
        <v>1.0986933333333332E-2</v>
      </c>
      <c r="E60" s="175">
        <v>1.1299999999999999E-2</v>
      </c>
      <c r="F60" s="152">
        <f t="shared" si="13"/>
        <v>1600</v>
      </c>
      <c r="G60" s="152">
        <f>'II.3 ĐG DC'!K9</f>
        <v>1600</v>
      </c>
      <c r="H60" s="182">
        <f t="shared" si="11"/>
        <v>17.579093333333333</v>
      </c>
      <c r="I60" s="182">
        <f t="shared" si="12"/>
        <v>18.079999999999998</v>
      </c>
      <c r="J60" s="602"/>
    </row>
    <row r="61" spans="1:10" s="171" customFormat="1" ht="15.75">
      <c r="A61" s="125">
        <v>49</v>
      </c>
      <c r="B61" s="124" t="s">
        <v>6</v>
      </c>
      <c r="C61" s="125" t="s">
        <v>7</v>
      </c>
      <c r="D61" s="454">
        <v>1.0986933333333332E-2</v>
      </c>
      <c r="E61" s="175">
        <v>1.1299999999999999E-2</v>
      </c>
      <c r="F61" s="152">
        <f t="shared" si="13"/>
        <v>1600</v>
      </c>
      <c r="G61" s="152">
        <f>'II.3 ĐG DC'!K10</f>
        <v>1500</v>
      </c>
      <c r="H61" s="182">
        <f t="shared" si="11"/>
        <v>17.579093333333333</v>
      </c>
      <c r="I61" s="182">
        <f t="shared" si="12"/>
        <v>16.95</v>
      </c>
      <c r="J61" s="602"/>
    </row>
    <row r="62" spans="1:10" s="171" customFormat="1" ht="15.75">
      <c r="A62" s="125">
        <v>50</v>
      </c>
      <c r="B62" s="124" t="s">
        <v>9</v>
      </c>
      <c r="C62" s="125" t="s">
        <v>4</v>
      </c>
      <c r="D62" s="454">
        <v>2.1795599999999995E-2</v>
      </c>
      <c r="E62" s="175">
        <v>2.2499999999999999E-2</v>
      </c>
      <c r="F62" s="152">
        <f t="shared" si="13"/>
        <v>3185</v>
      </c>
      <c r="G62" s="152">
        <f>'II.3 ĐG DC'!K11</f>
        <v>3185</v>
      </c>
      <c r="H62" s="182">
        <f t="shared" si="11"/>
        <v>69.41898599999999</v>
      </c>
      <c r="I62" s="182">
        <f t="shared" si="12"/>
        <v>71.662499999999994</v>
      </c>
      <c r="J62" s="602"/>
    </row>
    <row r="63" spans="1:10" s="171" customFormat="1" ht="15.75">
      <c r="A63" s="125">
        <v>51</v>
      </c>
      <c r="B63" s="124" t="s">
        <v>13</v>
      </c>
      <c r="C63" s="125" t="s">
        <v>4</v>
      </c>
      <c r="D63" s="454">
        <v>1.0986933333333332E-2</v>
      </c>
      <c r="E63" s="175">
        <v>1.1299999999999999E-2</v>
      </c>
      <c r="F63" s="152">
        <f t="shared" si="13"/>
        <v>1611.4583333333333</v>
      </c>
      <c r="G63" s="152">
        <f>'II.3 ĐG DC'!K12</f>
        <v>1611.4583333333333</v>
      </c>
      <c r="H63" s="182">
        <f t="shared" si="11"/>
        <v>17.704985277777777</v>
      </c>
      <c r="I63" s="182">
        <f t="shared" si="12"/>
        <v>18.209479166666664</v>
      </c>
      <c r="J63" s="602"/>
    </row>
    <row r="64" spans="1:10" s="171" customFormat="1" ht="15.75">
      <c r="A64" s="125">
        <v>52</v>
      </c>
      <c r="B64" s="124" t="s">
        <v>3</v>
      </c>
      <c r="C64" s="125" t="s">
        <v>4</v>
      </c>
      <c r="D64" s="454">
        <v>3.0952799999999996E-2</v>
      </c>
      <c r="E64" s="175">
        <v>2.2499999999999999E-2</v>
      </c>
      <c r="F64" s="152">
        <f t="shared" si="13"/>
        <v>492.91666666666669</v>
      </c>
      <c r="G64" s="152">
        <f>'II.3 ĐG DC'!K13</f>
        <v>492.91666666666669</v>
      </c>
      <c r="H64" s="182">
        <f t="shared" si="11"/>
        <v>15.257150999999999</v>
      </c>
      <c r="I64" s="182">
        <f t="shared" si="12"/>
        <v>11.090624999999999</v>
      </c>
      <c r="J64" s="602"/>
    </row>
    <row r="65" spans="1:10" s="171" customFormat="1" ht="15.75">
      <c r="A65" s="125">
        <v>53</v>
      </c>
      <c r="B65" s="124" t="s">
        <v>14</v>
      </c>
      <c r="C65" s="125" t="s">
        <v>7</v>
      </c>
      <c r="D65" s="454">
        <v>1.0986933333333332E-2</v>
      </c>
      <c r="E65" s="175">
        <v>1.1299999999999999E-2</v>
      </c>
      <c r="F65" s="152">
        <f t="shared" si="13"/>
        <v>379.16666666666669</v>
      </c>
      <c r="G65" s="152">
        <f>'II.3 ĐG DC'!K14</f>
        <v>379.16666666666669</v>
      </c>
      <c r="H65" s="182">
        <f t="shared" si="11"/>
        <v>4.1658788888888889</v>
      </c>
      <c r="I65" s="182">
        <f t="shared" si="12"/>
        <v>4.284583333333333</v>
      </c>
      <c r="J65" s="602"/>
    </row>
    <row r="66" spans="1:10" s="171" customFormat="1" ht="15.75">
      <c r="A66" s="125">
        <v>54</v>
      </c>
      <c r="B66" s="124" t="s">
        <v>5</v>
      </c>
      <c r="C66" s="125" t="s">
        <v>4</v>
      </c>
      <c r="D66" s="454">
        <v>1.8297333333333332E-3</v>
      </c>
      <c r="E66" s="175">
        <v>1.1299999999999999E-2</v>
      </c>
      <c r="F66" s="152">
        <f t="shared" si="13"/>
        <v>198.33333333333334</v>
      </c>
      <c r="G66" s="152">
        <f>'II.3 ĐG DC'!K15</f>
        <v>99.166666666666671</v>
      </c>
      <c r="H66" s="182">
        <f t="shared" si="11"/>
        <v>0.36289711111111111</v>
      </c>
      <c r="I66" s="182">
        <f t="shared" si="12"/>
        <v>1.1205833333333333</v>
      </c>
      <c r="J66" s="602"/>
    </row>
    <row r="67" spans="1:10" s="171" customFormat="1" ht="15.75">
      <c r="A67" s="125">
        <v>55</v>
      </c>
      <c r="B67" s="124" t="s">
        <v>15</v>
      </c>
      <c r="C67" s="125" t="s">
        <v>4</v>
      </c>
      <c r="D67" s="454">
        <v>1.0590253333333334E-2</v>
      </c>
      <c r="E67" s="175">
        <v>1.575E-2</v>
      </c>
      <c r="F67" s="152">
        <f t="shared" si="13"/>
        <v>172.08333333333334</v>
      </c>
      <c r="G67" s="152">
        <f>'II.3 ĐG DC'!K16</f>
        <v>344.16666666666669</v>
      </c>
      <c r="H67" s="182">
        <f t="shared" si="11"/>
        <v>1.8224060944444447</v>
      </c>
      <c r="I67" s="182">
        <f t="shared" si="12"/>
        <v>5.4206250000000002</v>
      </c>
      <c r="J67" s="602"/>
    </row>
    <row r="68" spans="1:10" s="171" customFormat="1" ht="15.75">
      <c r="A68" s="125">
        <v>56</v>
      </c>
      <c r="B68" s="124" t="s">
        <v>120</v>
      </c>
      <c r="C68" s="125" t="s">
        <v>4</v>
      </c>
      <c r="D68" s="454">
        <v>1.0590253333333334E-2</v>
      </c>
      <c r="E68" s="175">
        <v>1.575E-2</v>
      </c>
      <c r="F68" s="152">
        <f t="shared" si="13"/>
        <v>341.25</v>
      </c>
      <c r="G68" s="152">
        <f>'II.3 ĐG DC'!K17</f>
        <v>180.55555555555554</v>
      </c>
      <c r="H68" s="182">
        <f t="shared" si="11"/>
        <v>3.6139239500000002</v>
      </c>
      <c r="I68" s="182">
        <f t="shared" si="12"/>
        <v>2.84375</v>
      </c>
      <c r="J68" s="602"/>
    </row>
    <row r="69" spans="1:10" s="171" customFormat="1" ht="15.75">
      <c r="A69" s="125">
        <v>57</v>
      </c>
      <c r="B69" s="124" t="s">
        <v>121</v>
      </c>
      <c r="C69" s="125" t="s">
        <v>4</v>
      </c>
      <c r="D69" s="454">
        <v>1.512893333333333E-2</v>
      </c>
      <c r="E69" s="175">
        <v>2.2499999999999999E-2</v>
      </c>
      <c r="F69" s="152">
        <f t="shared" si="13"/>
        <v>2119.5416666666665</v>
      </c>
      <c r="G69" s="152">
        <f>'II.3 ĐG DC'!K18</f>
        <v>1902.7777777777778</v>
      </c>
      <c r="H69" s="182">
        <f t="shared" si="11"/>
        <v>32.066404572222211</v>
      </c>
      <c r="I69" s="182">
        <f t="shared" si="12"/>
        <v>42.8125</v>
      </c>
      <c r="J69" s="602"/>
    </row>
    <row r="70" spans="1:10" s="171" customFormat="1" ht="15.75">
      <c r="A70" s="125">
        <v>58</v>
      </c>
      <c r="B70" s="124" t="s">
        <v>122</v>
      </c>
      <c r="C70" s="125" t="s">
        <v>4</v>
      </c>
      <c r="D70" s="454">
        <v>1.512893333333333E-2</v>
      </c>
      <c r="E70" s="175">
        <v>2.2499999999999999E-2</v>
      </c>
      <c r="F70" s="152">
        <f t="shared" si="13"/>
        <v>379.16666666666669</v>
      </c>
      <c r="G70" s="152">
        <f>'II.3 ĐG DC'!K19</f>
        <v>9722.2222222222226</v>
      </c>
      <c r="H70" s="182">
        <f t="shared" si="11"/>
        <v>5.7363872222222216</v>
      </c>
      <c r="I70" s="182">
        <f t="shared" si="12"/>
        <v>218.75</v>
      </c>
      <c r="J70" s="602"/>
    </row>
    <row r="71" spans="1:10" s="171" customFormat="1" ht="15.75">
      <c r="A71" s="125">
        <v>59</v>
      </c>
      <c r="B71" s="124" t="s">
        <v>123</v>
      </c>
      <c r="C71" s="125" t="s">
        <v>4</v>
      </c>
      <c r="D71" s="454">
        <v>1.512893333333333E-2</v>
      </c>
      <c r="E71" s="175">
        <v>2.2499999999999999E-2</v>
      </c>
      <c r="F71" s="152">
        <f t="shared" si="13"/>
        <v>4239.083333333333</v>
      </c>
      <c r="G71" s="152">
        <f>'II.3 ĐG DC'!K20</f>
        <v>208.33333333333334</v>
      </c>
      <c r="H71" s="182">
        <f t="shared" si="11"/>
        <v>64.132809144444423</v>
      </c>
      <c r="I71" s="182">
        <f t="shared" si="12"/>
        <v>4.6875</v>
      </c>
      <c r="J71" s="602"/>
    </row>
    <row r="72" spans="1:10" s="171" customFormat="1" ht="15.75">
      <c r="A72" s="125">
        <v>60</v>
      </c>
      <c r="B72" s="124" t="s">
        <v>124</v>
      </c>
      <c r="C72" s="125" t="s">
        <v>4</v>
      </c>
      <c r="D72" s="454">
        <v>2.4286133333333328E-2</v>
      </c>
      <c r="E72" s="175">
        <v>2.2499999999999999E-2</v>
      </c>
      <c r="F72" s="152">
        <f t="shared" si="13"/>
        <v>21666.666666666668</v>
      </c>
      <c r="G72" s="152">
        <f>'II.3 ĐG DC'!K21</f>
        <v>638.88888888888891</v>
      </c>
      <c r="H72" s="182">
        <f t="shared" si="11"/>
        <v>526.19955555555543</v>
      </c>
      <c r="I72" s="182">
        <f t="shared" si="12"/>
        <v>14.375</v>
      </c>
      <c r="J72" s="602"/>
    </row>
    <row r="73" spans="1:10" s="171" customFormat="1" ht="15.75">
      <c r="A73" s="173" t="s">
        <v>48</v>
      </c>
      <c r="B73" s="174" t="s">
        <v>130</v>
      </c>
      <c r="C73" s="124"/>
      <c r="D73" s="454"/>
      <c r="E73" s="175"/>
      <c r="F73" s="152"/>
      <c r="G73" s="152"/>
      <c r="H73" s="182"/>
      <c r="I73" s="182"/>
      <c r="J73" s="602"/>
    </row>
    <row r="74" spans="1:10" s="171" customFormat="1" ht="15.75">
      <c r="A74" s="125">
        <v>61</v>
      </c>
      <c r="B74" s="124" t="s">
        <v>11</v>
      </c>
      <c r="C74" s="125" t="s">
        <v>12</v>
      </c>
      <c r="D74" s="454">
        <v>1.8202666666666668E-3</v>
      </c>
      <c r="E74" s="175">
        <v>2.0999999999999999E-3</v>
      </c>
      <c r="F74" s="152">
        <f>F19</f>
        <v>6521.666666666667</v>
      </c>
      <c r="G74" s="152">
        <f>'II.3 ĐG DC'!K6</f>
        <v>6521.666666666667</v>
      </c>
      <c r="H74" s="182">
        <f t="shared" ref="H74:H82" si="14">D74*F74</f>
        <v>11.871172444444445</v>
      </c>
      <c r="I74" s="182">
        <f t="shared" ref="I74:I82" si="15">E74*G74</f>
        <v>13.695499999999999</v>
      </c>
      <c r="J74" s="602"/>
    </row>
    <row r="75" spans="1:10" s="171" customFormat="1" ht="15.75">
      <c r="A75" s="125">
        <v>62</v>
      </c>
      <c r="B75" s="124" t="s">
        <v>10</v>
      </c>
      <c r="C75" s="125" t="s">
        <v>4</v>
      </c>
      <c r="D75" s="454">
        <v>1.8202666666666668E-3</v>
      </c>
      <c r="E75" s="175">
        <v>2.0999999999999999E-3</v>
      </c>
      <c r="F75" s="152">
        <f t="shared" ref="F75:F82" si="16">F20</f>
        <v>944.44444444444446</v>
      </c>
      <c r="G75" s="152">
        <f>'II.3 ĐG DC'!K7</f>
        <v>944.44444444444446</v>
      </c>
      <c r="H75" s="182">
        <f t="shared" si="14"/>
        <v>1.7191407407407409</v>
      </c>
      <c r="I75" s="182">
        <f t="shared" si="15"/>
        <v>1.9833333333333332</v>
      </c>
      <c r="J75" s="602"/>
    </row>
    <row r="76" spans="1:10" s="171" customFormat="1" ht="15.75">
      <c r="A76" s="125">
        <v>63</v>
      </c>
      <c r="B76" s="124" t="s">
        <v>8</v>
      </c>
      <c r="C76" s="125" t="s">
        <v>7</v>
      </c>
      <c r="D76" s="454">
        <v>9.8260000000000014E-4</v>
      </c>
      <c r="E76" s="175">
        <v>1.1000000000000001E-3</v>
      </c>
      <c r="F76" s="152">
        <f t="shared" si="16"/>
        <v>2222.2222222222222</v>
      </c>
      <c r="G76" s="152">
        <f>'II.3 ĐG DC'!K8</f>
        <v>2222.2222222222222</v>
      </c>
      <c r="H76" s="182">
        <f t="shared" si="14"/>
        <v>2.1835555555555559</v>
      </c>
      <c r="I76" s="182">
        <f t="shared" si="15"/>
        <v>2.4444444444444446</v>
      </c>
      <c r="J76" s="602"/>
    </row>
    <row r="77" spans="1:10" s="171" customFormat="1" ht="15.75">
      <c r="A77" s="125">
        <v>64</v>
      </c>
      <c r="B77" s="124" t="s">
        <v>119</v>
      </c>
      <c r="C77" s="125" t="s">
        <v>7</v>
      </c>
      <c r="D77" s="454">
        <v>9.8260000000000014E-4</v>
      </c>
      <c r="E77" s="175">
        <v>1.1000000000000001E-3</v>
      </c>
      <c r="F77" s="152">
        <f t="shared" si="16"/>
        <v>1600</v>
      </c>
      <c r="G77" s="152">
        <f>'II.3 ĐG DC'!K9</f>
        <v>1600</v>
      </c>
      <c r="H77" s="182">
        <f t="shared" si="14"/>
        <v>1.5721600000000002</v>
      </c>
      <c r="I77" s="182">
        <f t="shared" si="15"/>
        <v>1.76</v>
      </c>
      <c r="J77" s="602"/>
    </row>
    <row r="78" spans="1:10" s="171" customFormat="1" ht="15.75">
      <c r="A78" s="125">
        <v>65</v>
      </c>
      <c r="B78" s="124" t="s">
        <v>6</v>
      </c>
      <c r="C78" s="125" t="s">
        <v>7</v>
      </c>
      <c r="D78" s="454">
        <v>9.8260000000000014E-4</v>
      </c>
      <c r="E78" s="175">
        <v>1.1000000000000001E-3</v>
      </c>
      <c r="F78" s="152">
        <f t="shared" si="16"/>
        <v>1600</v>
      </c>
      <c r="G78" s="152">
        <f>'II.3 ĐG DC'!K10</f>
        <v>1500</v>
      </c>
      <c r="H78" s="182">
        <f t="shared" si="14"/>
        <v>1.5721600000000002</v>
      </c>
      <c r="I78" s="182">
        <f t="shared" si="15"/>
        <v>1.6500000000000001</v>
      </c>
      <c r="J78" s="602"/>
    </row>
    <row r="79" spans="1:10" s="171" customFormat="1" ht="15.75">
      <c r="A79" s="125">
        <v>66</v>
      </c>
      <c r="B79" s="124" t="s">
        <v>9</v>
      </c>
      <c r="C79" s="125" t="s">
        <v>4</v>
      </c>
      <c r="D79" s="454">
        <v>1.8202666666666668E-3</v>
      </c>
      <c r="E79" s="175">
        <v>2.0999999999999999E-3</v>
      </c>
      <c r="F79" s="152">
        <f t="shared" si="16"/>
        <v>3185</v>
      </c>
      <c r="G79" s="152">
        <f>'II.3 ĐG DC'!K11</f>
        <v>3185</v>
      </c>
      <c r="H79" s="182">
        <f t="shared" si="14"/>
        <v>5.7975493333333334</v>
      </c>
      <c r="I79" s="182">
        <f t="shared" si="15"/>
        <v>6.6884999999999994</v>
      </c>
      <c r="J79" s="602"/>
    </row>
    <row r="80" spans="1:10" s="171" customFormat="1" ht="15.75">
      <c r="A80" s="125">
        <v>67</v>
      </c>
      <c r="B80" s="124" t="s">
        <v>13</v>
      </c>
      <c r="C80" s="125" t="s">
        <v>4</v>
      </c>
      <c r="D80" s="454">
        <v>9.8260000000000014E-4</v>
      </c>
      <c r="E80" s="175">
        <v>1.1000000000000001E-3</v>
      </c>
      <c r="F80" s="152">
        <f t="shared" si="16"/>
        <v>1611.4583333333333</v>
      </c>
      <c r="G80" s="152">
        <f>'II.3 ĐG DC'!K12</f>
        <v>1611.4583333333333</v>
      </c>
      <c r="H80" s="182">
        <f t="shared" si="14"/>
        <v>1.5834189583333336</v>
      </c>
      <c r="I80" s="182">
        <f t="shared" si="15"/>
        <v>1.7726041666666668</v>
      </c>
      <c r="J80" s="602"/>
    </row>
    <row r="81" spans="1:10" s="171" customFormat="1" ht="15.75">
      <c r="A81" s="125">
        <v>68</v>
      </c>
      <c r="B81" s="124" t="s">
        <v>3</v>
      </c>
      <c r="C81" s="125" t="s">
        <v>4</v>
      </c>
      <c r="D81" s="454">
        <v>2.7986E-3</v>
      </c>
      <c r="E81" s="175">
        <v>2.0999999999999999E-3</v>
      </c>
      <c r="F81" s="152">
        <f t="shared" si="16"/>
        <v>492.91666666666669</v>
      </c>
      <c r="G81" s="152">
        <f>'II.3 ĐG DC'!K13</f>
        <v>492.91666666666669</v>
      </c>
      <c r="H81" s="182">
        <f t="shared" si="14"/>
        <v>1.3794765833333333</v>
      </c>
      <c r="I81" s="182">
        <f t="shared" si="15"/>
        <v>1.0351250000000001</v>
      </c>
      <c r="J81" s="602"/>
    </row>
    <row r="82" spans="1:10" s="171" customFormat="1" ht="15.75">
      <c r="A82" s="125">
        <v>69</v>
      </c>
      <c r="B82" s="124" t="s">
        <v>14</v>
      </c>
      <c r="C82" s="125" t="s">
        <v>7</v>
      </c>
      <c r="D82" s="454">
        <v>9.8260000000000014E-4</v>
      </c>
      <c r="E82" s="175">
        <v>1.1000000000000001E-3</v>
      </c>
      <c r="F82" s="152">
        <f t="shared" si="16"/>
        <v>379.16666666666669</v>
      </c>
      <c r="G82" s="152">
        <f>'II.3 ĐG DC'!K14</f>
        <v>379.16666666666669</v>
      </c>
      <c r="H82" s="182">
        <f t="shared" si="14"/>
        <v>0.37256916666666673</v>
      </c>
      <c r="I82" s="182">
        <f t="shared" si="15"/>
        <v>0.41708333333333336</v>
      </c>
      <c r="J82" s="602"/>
    </row>
    <row r="83" spans="1:10" s="171" customFormat="1" ht="31.5">
      <c r="A83" s="173" t="s">
        <v>131</v>
      </c>
      <c r="B83" s="174" t="s">
        <v>132</v>
      </c>
      <c r="C83" s="124"/>
      <c r="D83" s="454"/>
      <c r="E83" s="175"/>
      <c r="F83" s="152"/>
      <c r="G83" s="152"/>
      <c r="H83" s="182"/>
      <c r="I83" s="182"/>
      <c r="J83" s="602"/>
    </row>
    <row r="84" spans="1:10" s="171" customFormat="1" ht="15.75">
      <c r="A84" s="125">
        <v>70</v>
      </c>
      <c r="B84" s="124" t="s">
        <v>11</v>
      </c>
      <c r="C84" s="125" t="s">
        <v>12</v>
      </c>
      <c r="D84" s="454">
        <v>1.2217333333333334E-3</v>
      </c>
      <c r="E84" s="175">
        <v>1.2999999999999999E-3</v>
      </c>
      <c r="F84" s="152">
        <f>F19</f>
        <v>6521.666666666667</v>
      </c>
      <c r="G84" s="152">
        <f>'II.3 ĐG DC'!K6</f>
        <v>6521.666666666667</v>
      </c>
      <c r="H84" s="182">
        <f t="shared" ref="H84:H92" si="17">D84*F84</f>
        <v>7.9677375555555567</v>
      </c>
      <c r="I84" s="182">
        <f t="shared" ref="I84:I92" si="18">E84*G84</f>
        <v>8.4781666666666666</v>
      </c>
      <c r="J84" s="602"/>
    </row>
    <row r="85" spans="1:10" s="171" customFormat="1" ht="15.75">
      <c r="A85" s="125">
        <v>71</v>
      </c>
      <c r="B85" s="124" t="s">
        <v>10</v>
      </c>
      <c r="C85" s="125" t="s">
        <v>4</v>
      </c>
      <c r="D85" s="454">
        <v>1.2217333333333334E-3</v>
      </c>
      <c r="E85" s="175">
        <v>1.2999999999999999E-3</v>
      </c>
      <c r="F85" s="152">
        <f t="shared" ref="F85:F92" si="19">F20</f>
        <v>944.44444444444446</v>
      </c>
      <c r="G85" s="152">
        <f>'II.3 ĐG DC'!K7</f>
        <v>944.44444444444446</v>
      </c>
      <c r="H85" s="182">
        <f t="shared" si="17"/>
        <v>1.1538592592592594</v>
      </c>
      <c r="I85" s="182">
        <f t="shared" si="18"/>
        <v>1.2277777777777776</v>
      </c>
      <c r="J85" s="602"/>
    </row>
    <row r="86" spans="1:10" s="171" customFormat="1" ht="15.75">
      <c r="A86" s="125">
        <v>72</v>
      </c>
      <c r="B86" s="124" t="s">
        <v>8</v>
      </c>
      <c r="C86" s="125" t="s">
        <v>7</v>
      </c>
      <c r="D86" s="454">
        <v>6.9999999999999999E-4</v>
      </c>
      <c r="E86" s="175">
        <v>6.9999999999999999E-4</v>
      </c>
      <c r="F86" s="152">
        <f t="shared" si="19"/>
        <v>2222.2222222222222</v>
      </c>
      <c r="G86" s="152">
        <f>'II.3 ĐG DC'!K8</f>
        <v>2222.2222222222222</v>
      </c>
      <c r="H86" s="182">
        <f t="shared" si="17"/>
        <v>1.5555555555555556</v>
      </c>
      <c r="I86" s="182">
        <f t="shared" si="18"/>
        <v>1.5555555555555556</v>
      </c>
      <c r="J86" s="602"/>
    </row>
    <row r="87" spans="1:10" s="171" customFormat="1" ht="15.75">
      <c r="A87" s="125">
        <v>73</v>
      </c>
      <c r="B87" s="124" t="s">
        <v>119</v>
      </c>
      <c r="C87" s="125" t="s">
        <v>7</v>
      </c>
      <c r="D87" s="454">
        <v>6.9999999999999999E-4</v>
      </c>
      <c r="E87" s="175">
        <v>6.9999999999999999E-4</v>
      </c>
      <c r="F87" s="152">
        <f t="shared" si="19"/>
        <v>1600</v>
      </c>
      <c r="G87" s="152">
        <f>'II.3 ĐG DC'!K9</f>
        <v>1600</v>
      </c>
      <c r="H87" s="182">
        <f t="shared" si="17"/>
        <v>1.1199999999999999</v>
      </c>
      <c r="I87" s="182">
        <f t="shared" si="18"/>
        <v>1.1199999999999999</v>
      </c>
      <c r="J87" s="602"/>
    </row>
    <row r="88" spans="1:10" s="171" customFormat="1" ht="15.75">
      <c r="A88" s="125">
        <v>74</v>
      </c>
      <c r="B88" s="124" t="s">
        <v>6</v>
      </c>
      <c r="C88" s="125" t="s">
        <v>7</v>
      </c>
      <c r="D88" s="454">
        <v>6.9999999999999999E-4</v>
      </c>
      <c r="E88" s="175">
        <v>6.9999999999999999E-4</v>
      </c>
      <c r="F88" s="152">
        <f t="shared" si="19"/>
        <v>1600</v>
      </c>
      <c r="G88" s="152">
        <f>'II.3 ĐG DC'!K10</f>
        <v>1500</v>
      </c>
      <c r="H88" s="182">
        <f t="shared" si="17"/>
        <v>1.1199999999999999</v>
      </c>
      <c r="I88" s="182">
        <f t="shared" si="18"/>
        <v>1.05</v>
      </c>
      <c r="J88" s="602"/>
    </row>
    <row r="89" spans="1:10" s="171" customFormat="1" ht="15.75">
      <c r="A89" s="125">
        <v>75</v>
      </c>
      <c r="B89" s="124" t="s">
        <v>9</v>
      </c>
      <c r="C89" s="125" t="s">
        <v>4</v>
      </c>
      <c r="D89" s="454">
        <v>1.2217333333333334E-3</v>
      </c>
      <c r="E89" s="175">
        <v>1.2999999999999999E-3</v>
      </c>
      <c r="F89" s="152">
        <f t="shared" si="19"/>
        <v>3185</v>
      </c>
      <c r="G89" s="152">
        <f>'II.3 ĐG DC'!K11</f>
        <v>3185</v>
      </c>
      <c r="H89" s="182">
        <f t="shared" si="17"/>
        <v>3.8912206666666669</v>
      </c>
      <c r="I89" s="182">
        <f t="shared" si="18"/>
        <v>4.1404999999999994</v>
      </c>
      <c r="J89" s="602"/>
    </row>
    <row r="90" spans="1:10" s="171" customFormat="1" ht="15.75">
      <c r="A90" s="125">
        <v>76</v>
      </c>
      <c r="B90" s="124" t="s">
        <v>13</v>
      </c>
      <c r="C90" s="125" t="s">
        <v>4</v>
      </c>
      <c r="D90" s="454">
        <v>6.9999999999999999E-4</v>
      </c>
      <c r="E90" s="175">
        <v>6.9999999999999999E-4</v>
      </c>
      <c r="F90" s="152">
        <f t="shared" si="19"/>
        <v>1611.4583333333333</v>
      </c>
      <c r="G90" s="152">
        <f>'II.3 ĐG DC'!K12</f>
        <v>1611.4583333333333</v>
      </c>
      <c r="H90" s="182">
        <f t="shared" si="17"/>
        <v>1.1280208333333333</v>
      </c>
      <c r="I90" s="182">
        <f t="shared" si="18"/>
        <v>1.1280208333333333</v>
      </c>
      <c r="J90" s="602"/>
    </row>
    <row r="91" spans="1:10" s="171" customFormat="1" ht="15.75">
      <c r="A91" s="125">
        <v>77</v>
      </c>
      <c r="B91" s="124" t="s">
        <v>3</v>
      </c>
      <c r="C91" s="125" t="s">
        <v>4</v>
      </c>
      <c r="D91" s="454">
        <v>1.7696000000000001E-3</v>
      </c>
      <c r="E91" s="175">
        <v>1.2999999999999999E-3</v>
      </c>
      <c r="F91" s="152">
        <f t="shared" si="19"/>
        <v>492.91666666666669</v>
      </c>
      <c r="G91" s="152">
        <f>'II.3 ĐG DC'!K13</f>
        <v>492.91666666666669</v>
      </c>
      <c r="H91" s="182">
        <f t="shared" si="17"/>
        <v>0.87226533333333345</v>
      </c>
      <c r="I91" s="182">
        <f t="shared" si="18"/>
        <v>0.64079166666666665</v>
      </c>
      <c r="J91" s="602"/>
    </row>
    <row r="92" spans="1:10" s="171" customFormat="1" ht="15.75">
      <c r="A92" s="125">
        <v>78</v>
      </c>
      <c r="B92" s="124" t="s">
        <v>14</v>
      </c>
      <c r="C92" s="125" t="s">
        <v>7</v>
      </c>
      <c r="D92" s="454">
        <v>6.9999999999999999E-4</v>
      </c>
      <c r="E92" s="175">
        <v>6.9999999999999999E-4</v>
      </c>
      <c r="F92" s="152">
        <f t="shared" si="19"/>
        <v>379.16666666666669</v>
      </c>
      <c r="G92" s="152">
        <f>'II.3 ĐG DC'!K14</f>
        <v>379.16666666666669</v>
      </c>
      <c r="H92" s="182">
        <f t="shared" si="17"/>
        <v>0.26541666666666669</v>
      </c>
      <c r="I92" s="182">
        <f t="shared" si="18"/>
        <v>0.26541666666666669</v>
      </c>
      <c r="J92" s="602"/>
    </row>
    <row r="93" spans="1:10" s="171" customFormat="1" ht="31.5">
      <c r="A93" s="173" t="s">
        <v>49</v>
      </c>
      <c r="B93" s="174" t="s">
        <v>133</v>
      </c>
      <c r="C93" s="124"/>
      <c r="D93" s="454"/>
      <c r="E93" s="175"/>
      <c r="F93" s="152"/>
      <c r="G93" s="152"/>
      <c r="H93" s="182"/>
      <c r="I93" s="182"/>
      <c r="J93" s="602"/>
    </row>
    <row r="94" spans="1:10" s="171" customFormat="1" ht="15.75">
      <c r="A94" s="125">
        <v>79</v>
      </c>
      <c r="B94" s="124" t="s">
        <v>11</v>
      </c>
      <c r="C94" s="125" t="s">
        <v>12</v>
      </c>
      <c r="D94" s="454">
        <v>2.3383999999999996E-3</v>
      </c>
      <c r="E94" s="175">
        <v>2.3999999999999998E-3</v>
      </c>
      <c r="F94" s="152">
        <f>F19</f>
        <v>6521.666666666667</v>
      </c>
      <c r="G94" s="152">
        <f>'II.3 ĐG DC'!K6</f>
        <v>6521.666666666667</v>
      </c>
      <c r="H94" s="182">
        <f t="shared" ref="H94:H102" si="20">D94*F94</f>
        <v>15.250265333333331</v>
      </c>
      <c r="I94" s="182">
        <f t="shared" ref="I94:I102" si="21">E94*G94</f>
        <v>15.651999999999999</v>
      </c>
      <c r="J94" s="602"/>
    </row>
    <row r="95" spans="1:10" s="171" customFormat="1" ht="15.75">
      <c r="A95" s="125">
        <v>80</v>
      </c>
      <c r="B95" s="124" t="s">
        <v>10</v>
      </c>
      <c r="C95" s="125" t="s">
        <v>4</v>
      </c>
      <c r="D95" s="454">
        <v>2.3383999999999996E-3</v>
      </c>
      <c r="E95" s="175">
        <v>2.3999999999999998E-3</v>
      </c>
      <c r="F95" s="152">
        <f t="shared" ref="F95:F102" si="22">F20</f>
        <v>944.44444444444446</v>
      </c>
      <c r="G95" s="152">
        <f>'II.3 ĐG DC'!K7</f>
        <v>944.44444444444446</v>
      </c>
      <c r="H95" s="182">
        <f t="shared" si="20"/>
        <v>2.2084888888888887</v>
      </c>
      <c r="I95" s="182">
        <f t="shared" si="21"/>
        <v>2.2666666666666666</v>
      </c>
      <c r="J95" s="602"/>
    </row>
    <row r="96" spans="1:10" s="171" customFormat="1" ht="15.75">
      <c r="A96" s="125">
        <v>81</v>
      </c>
      <c r="B96" s="124" t="s">
        <v>8</v>
      </c>
      <c r="C96" s="125" t="s">
        <v>7</v>
      </c>
      <c r="D96" s="454">
        <v>1.1691999999999998E-3</v>
      </c>
      <c r="E96" s="175">
        <v>1.1999999999999999E-3</v>
      </c>
      <c r="F96" s="152">
        <f t="shared" si="22"/>
        <v>2222.2222222222222</v>
      </c>
      <c r="G96" s="152">
        <f>'II.3 ĐG DC'!K8</f>
        <v>2222.2222222222222</v>
      </c>
      <c r="H96" s="182">
        <f t="shared" si="20"/>
        <v>2.5982222222222218</v>
      </c>
      <c r="I96" s="182">
        <f t="shared" si="21"/>
        <v>2.6666666666666665</v>
      </c>
      <c r="J96" s="602"/>
    </row>
    <row r="97" spans="1:10" s="171" customFormat="1" ht="15.75">
      <c r="A97" s="125">
        <v>82</v>
      </c>
      <c r="B97" s="124" t="s">
        <v>119</v>
      </c>
      <c r="C97" s="125" t="s">
        <v>7</v>
      </c>
      <c r="D97" s="454">
        <v>1.1691999999999998E-3</v>
      </c>
      <c r="E97" s="175">
        <v>1.1999999999999999E-3</v>
      </c>
      <c r="F97" s="152">
        <f t="shared" si="22"/>
        <v>1600</v>
      </c>
      <c r="G97" s="152">
        <f>'II.3 ĐG DC'!K9</f>
        <v>1600</v>
      </c>
      <c r="H97" s="182">
        <f t="shared" si="20"/>
        <v>1.8707199999999997</v>
      </c>
      <c r="I97" s="182">
        <f t="shared" si="21"/>
        <v>1.92</v>
      </c>
      <c r="J97" s="602"/>
    </row>
    <row r="98" spans="1:10" s="171" customFormat="1" ht="15.75">
      <c r="A98" s="125">
        <v>83</v>
      </c>
      <c r="B98" s="124" t="s">
        <v>6</v>
      </c>
      <c r="C98" s="125" t="s">
        <v>7</v>
      </c>
      <c r="D98" s="454">
        <v>1.1691999999999998E-3</v>
      </c>
      <c r="E98" s="175">
        <v>1.1999999999999999E-3</v>
      </c>
      <c r="F98" s="152">
        <f t="shared" si="22"/>
        <v>1600</v>
      </c>
      <c r="G98" s="152">
        <f>'II.3 ĐG DC'!K10</f>
        <v>1500</v>
      </c>
      <c r="H98" s="182">
        <f t="shared" si="20"/>
        <v>1.8707199999999997</v>
      </c>
      <c r="I98" s="182">
        <f t="shared" si="21"/>
        <v>1.7999999999999998</v>
      </c>
      <c r="J98" s="602"/>
    </row>
    <row r="99" spans="1:10" s="171" customFormat="1" ht="15.75">
      <c r="A99" s="125">
        <v>84</v>
      </c>
      <c r="B99" s="124" t="s">
        <v>9</v>
      </c>
      <c r="C99" s="125" t="s">
        <v>4</v>
      </c>
      <c r="D99" s="454">
        <v>2.3383999999999996E-3</v>
      </c>
      <c r="E99" s="175">
        <v>2.3999999999999998E-3</v>
      </c>
      <c r="F99" s="152">
        <f t="shared" si="22"/>
        <v>3185</v>
      </c>
      <c r="G99" s="152">
        <f>'II.3 ĐG DC'!K11</f>
        <v>3185</v>
      </c>
      <c r="H99" s="182">
        <f t="shared" si="20"/>
        <v>7.4478039999999988</v>
      </c>
      <c r="I99" s="182">
        <f t="shared" si="21"/>
        <v>7.6439999999999992</v>
      </c>
      <c r="J99" s="602"/>
    </row>
    <row r="100" spans="1:10" s="171" customFormat="1" ht="15.75">
      <c r="A100" s="125">
        <v>85</v>
      </c>
      <c r="B100" s="124" t="s">
        <v>13</v>
      </c>
      <c r="C100" s="125" t="s">
        <v>4</v>
      </c>
      <c r="D100" s="454">
        <v>1.1691999999999998E-3</v>
      </c>
      <c r="E100" s="175">
        <v>1.1999999999999999E-3</v>
      </c>
      <c r="F100" s="152">
        <f t="shared" si="22"/>
        <v>1611.4583333333333</v>
      </c>
      <c r="G100" s="152">
        <f>'II.3 ĐG DC'!K12</f>
        <v>1611.4583333333333</v>
      </c>
      <c r="H100" s="182">
        <f t="shared" si="20"/>
        <v>1.8841170833333329</v>
      </c>
      <c r="I100" s="182">
        <f t="shared" si="21"/>
        <v>1.9337499999999996</v>
      </c>
      <c r="J100" s="602"/>
    </row>
    <row r="101" spans="1:10" s="171" customFormat="1" ht="15.75">
      <c r="A101" s="125">
        <v>86</v>
      </c>
      <c r="B101" s="124" t="s">
        <v>3</v>
      </c>
      <c r="C101" s="125" t="s">
        <v>4</v>
      </c>
      <c r="D101" s="454">
        <v>3.1083999999999994E-3</v>
      </c>
      <c r="E101" s="175">
        <v>2.3999999999999998E-3</v>
      </c>
      <c r="F101" s="152">
        <f t="shared" si="22"/>
        <v>492.91666666666669</v>
      </c>
      <c r="G101" s="152">
        <f>'II.3 ĐG DC'!K13</f>
        <v>492.91666666666669</v>
      </c>
      <c r="H101" s="182">
        <f t="shared" si="20"/>
        <v>1.5321821666666664</v>
      </c>
      <c r="I101" s="182">
        <f t="shared" si="21"/>
        <v>1.1830000000000001</v>
      </c>
      <c r="J101" s="602"/>
    </row>
    <row r="102" spans="1:10" s="171" customFormat="1" ht="15.75">
      <c r="A102" s="125">
        <v>87</v>
      </c>
      <c r="B102" s="124" t="s">
        <v>14</v>
      </c>
      <c r="C102" s="125" t="s">
        <v>7</v>
      </c>
      <c r="D102" s="454">
        <v>1.1691999999999998E-3</v>
      </c>
      <c r="E102" s="175">
        <v>1.1999999999999999E-3</v>
      </c>
      <c r="F102" s="152">
        <f t="shared" si="22"/>
        <v>379.16666666666669</v>
      </c>
      <c r="G102" s="152">
        <f>'II.3 ĐG DC'!K14</f>
        <v>379.16666666666669</v>
      </c>
      <c r="H102" s="182">
        <f t="shared" si="20"/>
        <v>0.44332166666666661</v>
      </c>
      <c r="I102" s="182">
        <f t="shared" si="21"/>
        <v>0.45499999999999996</v>
      </c>
      <c r="J102" s="602"/>
    </row>
    <row r="103" spans="1:10" s="171" customFormat="1" ht="31.5">
      <c r="A103" s="173" t="s">
        <v>50</v>
      </c>
      <c r="B103" s="174" t="s">
        <v>134</v>
      </c>
      <c r="C103" s="124"/>
      <c r="D103" s="454"/>
      <c r="E103" s="175"/>
      <c r="F103" s="152"/>
      <c r="G103" s="152"/>
      <c r="H103" s="182"/>
      <c r="I103" s="182"/>
      <c r="J103" s="602"/>
    </row>
    <row r="104" spans="1:10" s="171" customFormat="1" ht="15.75">
      <c r="A104" s="125">
        <v>88</v>
      </c>
      <c r="B104" s="124" t="s">
        <v>11</v>
      </c>
      <c r="C104" s="125" t="s">
        <v>12</v>
      </c>
      <c r="D104" s="454">
        <v>2.2767999999999994E-3</v>
      </c>
      <c r="E104" s="175">
        <v>2.3999999999999998E-3</v>
      </c>
      <c r="F104" s="152">
        <f>F19</f>
        <v>6521.666666666667</v>
      </c>
      <c r="G104" s="152">
        <f>'II.3 ĐG DC'!K6</f>
        <v>6521.666666666667</v>
      </c>
      <c r="H104" s="182">
        <f t="shared" ref="H104:H112" si="23">D104*F104</f>
        <v>14.848530666666663</v>
      </c>
      <c r="I104" s="182">
        <f t="shared" ref="I104:I112" si="24">E104*G104</f>
        <v>15.651999999999999</v>
      </c>
      <c r="J104" s="602"/>
    </row>
    <row r="105" spans="1:10" s="171" customFormat="1" ht="15.75">
      <c r="A105" s="125">
        <v>89</v>
      </c>
      <c r="B105" s="124" t="s">
        <v>10</v>
      </c>
      <c r="C105" s="125" t="s">
        <v>4</v>
      </c>
      <c r="D105" s="454">
        <v>2.2767999999999994E-3</v>
      </c>
      <c r="E105" s="175">
        <v>2.3999999999999998E-3</v>
      </c>
      <c r="F105" s="152">
        <f t="shared" ref="F105:F112" si="25">F20</f>
        <v>944.44444444444446</v>
      </c>
      <c r="G105" s="152">
        <f>'II.3 ĐG DC'!K7</f>
        <v>944.44444444444446</v>
      </c>
      <c r="H105" s="182">
        <f t="shared" si="23"/>
        <v>2.1503111111111104</v>
      </c>
      <c r="I105" s="182">
        <f t="shared" si="24"/>
        <v>2.2666666666666666</v>
      </c>
      <c r="J105" s="602"/>
    </row>
    <row r="106" spans="1:10" s="171" customFormat="1" ht="15.75">
      <c r="A106" s="125">
        <v>90</v>
      </c>
      <c r="B106" s="124" t="s">
        <v>8</v>
      </c>
      <c r="C106" s="125" t="s">
        <v>7</v>
      </c>
      <c r="D106" s="454">
        <v>1.0767999999999997E-3</v>
      </c>
      <c r="E106" s="175">
        <v>1.1999999999999999E-3</v>
      </c>
      <c r="F106" s="152">
        <f t="shared" si="25"/>
        <v>2222.2222222222222</v>
      </c>
      <c r="G106" s="152">
        <f>'II.3 ĐG DC'!K8</f>
        <v>2222.2222222222222</v>
      </c>
      <c r="H106" s="182">
        <f t="shared" si="23"/>
        <v>2.3928888888888884</v>
      </c>
      <c r="I106" s="182">
        <f t="shared" si="24"/>
        <v>2.6666666666666665</v>
      </c>
      <c r="J106" s="602"/>
    </row>
    <row r="107" spans="1:10" s="171" customFormat="1" ht="15.75">
      <c r="A107" s="125">
        <v>91</v>
      </c>
      <c r="B107" s="124" t="s">
        <v>119</v>
      </c>
      <c r="C107" s="125" t="s">
        <v>7</v>
      </c>
      <c r="D107" s="454">
        <v>1.0767999999999997E-3</v>
      </c>
      <c r="E107" s="175">
        <v>1.1999999999999999E-3</v>
      </c>
      <c r="F107" s="152">
        <f t="shared" si="25"/>
        <v>1600</v>
      </c>
      <c r="G107" s="152">
        <f>'II.3 ĐG DC'!K9</f>
        <v>1600</v>
      </c>
      <c r="H107" s="182">
        <f t="shared" si="23"/>
        <v>1.7228799999999995</v>
      </c>
      <c r="I107" s="182">
        <f t="shared" si="24"/>
        <v>1.92</v>
      </c>
      <c r="J107" s="602"/>
    </row>
    <row r="108" spans="1:10" s="171" customFormat="1" ht="15.75">
      <c r="A108" s="125">
        <v>92</v>
      </c>
      <c r="B108" s="124" t="s">
        <v>6</v>
      </c>
      <c r="C108" s="125" t="s">
        <v>7</v>
      </c>
      <c r="D108" s="454">
        <v>1.0767999999999997E-3</v>
      </c>
      <c r="E108" s="175">
        <v>1.1999999999999999E-3</v>
      </c>
      <c r="F108" s="152">
        <f t="shared" si="25"/>
        <v>1600</v>
      </c>
      <c r="G108" s="152">
        <f>'II.3 ĐG DC'!K10</f>
        <v>1500</v>
      </c>
      <c r="H108" s="182">
        <f t="shared" si="23"/>
        <v>1.7228799999999995</v>
      </c>
      <c r="I108" s="182">
        <f t="shared" si="24"/>
        <v>1.7999999999999998</v>
      </c>
      <c r="J108" s="602"/>
    </row>
    <row r="109" spans="1:10" s="171" customFormat="1" ht="15.75">
      <c r="A109" s="125">
        <v>93</v>
      </c>
      <c r="B109" s="124" t="s">
        <v>9</v>
      </c>
      <c r="C109" s="125" t="s">
        <v>4</v>
      </c>
      <c r="D109" s="454">
        <v>2.2767999999999994E-3</v>
      </c>
      <c r="E109" s="175">
        <v>2.3999999999999998E-3</v>
      </c>
      <c r="F109" s="152">
        <f t="shared" si="25"/>
        <v>3185</v>
      </c>
      <c r="G109" s="152">
        <f>'II.3 ĐG DC'!K11</f>
        <v>3185</v>
      </c>
      <c r="H109" s="182">
        <f t="shared" si="23"/>
        <v>7.2516079999999983</v>
      </c>
      <c r="I109" s="182">
        <f t="shared" si="24"/>
        <v>7.6439999999999992</v>
      </c>
      <c r="J109" s="602"/>
    </row>
    <row r="110" spans="1:10" s="171" customFormat="1" ht="15.75">
      <c r="A110" s="125">
        <v>94</v>
      </c>
      <c r="B110" s="124" t="s">
        <v>13</v>
      </c>
      <c r="C110" s="125" t="s">
        <v>4</v>
      </c>
      <c r="D110" s="454">
        <v>1.0767999999999997E-3</v>
      </c>
      <c r="E110" s="175">
        <v>1.1999999999999999E-3</v>
      </c>
      <c r="F110" s="152">
        <f t="shared" si="25"/>
        <v>1611.4583333333333</v>
      </c>
      <c r="G110" s="152">
        <f>'II.3 ĐG DC'!K12</f>
        <v>1611.4583333333333</v>
      </c>
      <c r="H110" s="182">
        <f t="shared" si="23"/>
        <v>1.7352183333333329</v>
      </c>
      <c r="I110" s="182">
        <f t="shared" si="24"/>
        <v>1.9337499999999996</v>
      </c>
      <c r="J110" s="602"/>
    </row>
    <row r="111" spans="1:10" s="171" customFormat="1" ht="15.75">
      <c r="A111" s="125">
        <v>95</v>
      </c>
      <c r="B111" s="124" t="s">
        <v>3</v>
      </c>
      <c r="C111" s="125" t="s">
        <v>4</v>
      </c>
      <c r="D111" s="454">
        <v>2.2767999999999994E-3</v>
      </c>
      <c r="E111" s="175">
        <v>2.3999999999999998E-3</v>
      </c>
      <c r="F111" s="152">
        <f t="shared" si="25"/>
        <v>492.91666666666669</v>
      </c>
      <c r="G111" s="152">
        <f>'II.3 ĐG DC'!K13</f>
        <v>492.91666666666669</v>
      </c>
      <c r="H111" s="182">
        <f t="shared" si="23"/>
        <v>1.1222726666666665</v>
      </c>
      <c r="I111" s="182">
        <f t="shared" si="24"/>
        <v>1.1830000000000001</v>
      </c>
      <c r="J111" s="602"/>
    </row>
    <row r="112" spans="1:10" s="171" customFormat="1" ht="15.75">
      <c r="A112" s="125">
        <v>96</v>
      </c>
      <c r="B112" s="124" t="s">
        <v>14</v>
      </c>
      <c r="C112" s="125" t="s">
        <v>7</v>
      </c>
      <c r="D112" s="454">
        <v>1.0767999999999997E-3</v>
      </c>
      <c r="E112" s="175">
        <v>1.1999999999999999E-3</v>
      </c>
      <c r="F112" s="152">
        <f t="shared" si="25"/>
        <v>379.16666666666669</v>
      </c>
      <c r="G112" s="152">
        <f>'II.3 ĐG DC'!K14</f>
        <v>379.16666666666669</v>
      </c>
      <c r="H112" s="182">
        <f t="shared" si="23"/>
        <v>0.40828666666666658</v>
      </c>
      <c r="I112" s="182">
        <f t="shared" si="24"/>
        <v>0.45499999999999996</v>
      </c>
      <c r="J112" s="602"/>
    </row>
    <row r="113" spans="1:10" s="171" customFormat="1" ht="15.75">
      <c r="A113" s="173" t="s">
        <v>135</v>
      </c>
      <c r="B113" s="174" t="s">
        <v>83</v>
      </c>
      <c r="C113" s="124"/>
      <c r="D113" s="454"/>
      <c r="E113" s="175"/>
      <c r="F113" s="152"/>
      <c r="G113" s="152"/>
      <c r="H113" s="182"/>
      <c r="I113" s="182"/>
      <c r="J113" s="602"/>
    </row>
    <row r="114" spans="1:10" s="171" customFormat="1" ht="15.75">
      <c r="A114" s="125">
        <v>97</v>
      </c>
      <c r="B114" s="124" t="s">
        <v>11</v>
      </c>
      <c r="C114" s="125" t="s">
        <v>12</v>
      </c>
      <c r="D114" s="454">
        <v>3.7680000000000005E-4</v>
      </c>
      <c r="E114" s="175">
        <v>5.0000000000000001E-4</v>
      </c>
      <c r="F114" s="152">
        <f>F19</f>
        <v>6521.666666666667</v>
      </c>
      <c r="G114" s="152">
        <f>'II.3 ĐG DC'!K6</f>
        <v>6521.666666666667</v>
      </c>
      <c r="H114" s="182">
        <f t="shared" ref="H114:H122" si="26">D114*F114</f>
        <v>2.4573640000000005</v>
      </c>
      <c r="I114" s="182">
        <f t="shared" ref="I114:I122" si="27">E114*G114</f>
        <v>3.2608333333333337</v>
      </c>
      <c r="J114" s="602"/>
    </row>
    <row r="115" spans="1:10" s="171" customFormat="1" ht="15.75">
      <c r="A115" s="125">
        <v>98</v>
      </c>
      <c r="B115" s="124" t="s">
        <v>10</v>
      </c>
      <c r="C115" s="125" t="s">
        <v>4</v>
      </c>
      <c r="D115" s="454">
        <v>3.7680000000000005E-4</v>
      </c>
      <c r="E115" s="175">
        <v>5.0000000000000001E-4</v>
      </c>
      <c r="F115" s="152">
        <f t="shared" ref="F115:F122" si="28">F20</f>
        <v>944.44444444444446</v>
      </c>
      <c r="G115" s="152">
        <f>'II.3 ĐG DC'!K7</f>
        <v>944.44444444444446</v>
      </c>
      <c r="H115" s="182">
        <f t="shared" si="26"/>
        <v>0.35586666666666672</v>
      </c>
      <c r="I115" s="182">
        <f t="shared" si="27"/>
        <v>0.47222222222222227</v>
      </c>
      <c r="J115" s="602"/>
    </row>
    <row r="116" spans="1:10" s="171" customFormat="1" ht="15.75">
      <c r="A116" s="125">
        <v>99</v>
      </c>
      <c r="B116" s="124" t="s">
        <v>8</v>
      </c>
      <c r="C116" s="125" t="s">
        <v>7</v>
      </c>
      <c r="D116" s="454">
        <v>2.9999999999999997E-4</v>
      </c>
      <c r="E116" s="175">
        <v>2.9999999999999997E-4</v>
      </c>
      <c r="F116" s="152">
        <f t="shared" si="28"/>
        <v>2222.2222222222222</v>
      </c>
      <c r="G116" s="152">
        <f>'II.3 ĐG DC'!K8</f>
        <v>2222.2222222222222</v>
      </c>
      <c r="H116" s="182">
        <f t="shared" si="26"/>
        <v>0.66666666666666663</v>
      </c>
      <c r="I116" s="182">
        <f t="shared" si="27"/>
        <v>0.66666666666666663</v>
      </c>
      <c r="J116" s="602"/>
    </row>
    <row r="117" spans="1:10" s="171" customFormat="1" ht="15.75">
      <c r="A117" s="125">
        <v>100</v>
      </c>
      <c r="B117" s="124" t="s">
        <v>119</v>
      </c>
      <c r="C117" s="125" t="s">
        <v>7</v>
      </c>
      <c r="D117" s="454">
        <v>2.9999999999999997E-4</v>
      </c>
      <c r="E117" s="175">
        <v>2.9999999999999997E-4</v>
      </c>
      <c r="F117" s="152">
        <f t="shared" si="28"/>
        <v>1600</v>
      </c>
      <c r="G117" s="152">
        <f>'II.3 ĐG DC'!K9</f>
        <v>1600</v>
      </c>
      <c r="H117" s="182">
        <f t="shared" si="26"/>
        <v>0.48</v>
      </c>
      <c r="I117" s="182">
        <f t="shared" si="27"/>
        <v>0.48</v>
      </c>
      <c r="J117" s="602"/>
    </row>
    <row r="118" spans="1:10" s="171" customFormat="1" ht="15.75">
      <c r="A118" s="125">
        <v>101</v>
      </c>
      <c r="B118" s="124" t="s">
        <v>6</v>
      </c>
      <c r="C118" s="125" t="s">
        <v>7</v>
      </c>
      <c r="D118" s="454">
        <v>2.9999999999999997E-4</v>
      </c>
      <c r="E118" s="175">
        <v>2.9999999999999997E-4</v>
      </c>
      <c r="F118" s="152">
        <f t="shared" si="28"/>
        <v>1600</v>
      </c>
      <c r="G118" s="152">
        <f>'II.3 ĐG DC'!K10</f>
        <v>1500</v>
      </c>
      <c r="H118" s="182">
        <f t="shared" si="26"/>
        <v>0.48</v>
      </c>
      <c r="I118" s="182">
        <f t="shared" si="27"/>
        <v>0.44999999999999996</v>
      </c>
      <c r="J118" s="602"/>
    </row>
    <row r="119" spans="1:10" s="171" customFormat="1" ht="15.75">
      <c r="A119" s="125">
        <v>102</v>
      </c>
      <c r="B119" s="124" t="s">
        <v>9</v>
      </c>
      <c r="C119" s="125" t="s">
        <v>4</v>
      </c>
      <c r="D119" s="454">
        <v>3.7680000000000005E-4</v>
      </c>
      <c r="E119" s="175">
        <v>5.0000000000000001E-4</v>
      </c>
      <c r="F119" s="152">
        <f t="shared" si="28"/>
        <v>3185</v>
      </c>
      <c r="G119" s="152">
        <f>'II.3 ĐG DC'!K11</f>
        <v>3185</v>
      </c>
      <c r="H119" s="182">
        <f t="shared" si="26"/>
        <v>1.2001080000000002</v>
      </c>
      <c r="I119" s="182">
        <f t="shared" si="27"/>
        <v>1.5925</v>
      </c>
      <c r="J119" s="602"/>
    </row>
    <row r="120" spans="1:10" s="171" customFormat="1" ht="15.75">
      <c r="A120" s="125">
        <v>103</v>
      </c>
      <c r="B120" s="124" t="s">
        <v>13</v>
      </c>
      <c r="C120" s="125" t="s">
        <v>4</v>
      </c>
      <c r="D120" s="454">
        <v>2.9999999999999997E-4</v>
      </c>
      <c r="E120" s="175">
        <v>2.9999999999999997E-4</v>
      </c>
      <c r="F120" s="152">
        <f t="shared" si="28"/>
        <v>1611.4583333333333</v>
      </c>
      <c r="G120" s="152">
        <f>'II.3 ĐG DC'!K12</f>
        <v>1611.4583333333333</v>
      </c>
      <c r="H120" s="182">
        <f t="shared" si="26"/>
        <v>0.48343749999999991</v>
      </c>
      <c r="I120" s="182">
        <f t="shared" si="27"/>
        <v>0.48343749999999991</v>
      </c>
      <c r="J120" s="602"/>
    </row>
    <row r="121" spans="1:10" s="171" customFormat="1" ht="15.75">
      <c r="A121" s="125">
        <v>104</v>
      </c>
      <c r="B121" s="124" t="s">
        <v>3</v>
      </c>
      <c r="C121" s="125" t="s">
        <v>4</v>
      </c>
      <c r="D121" s="454">
        <v>3.7680000000000005E-4</v>
      </c>
      <c r="E121" s="175">
        <v>5.0000000000000001E-4</v>
      </c>
      <c r="F121" s="152">
        <f t="shared" si="28"/>
        <v>492.91666666666669</v>
      </c>
      <c r="G121" s="152">
        <f>'II.3 ĐG DC'!K13</f>
        <v>492.91666666666669</v>
      </c>
      <c r="H121" s="182">
        <f t="shared" si="26"/>
        <v>0.18573100000000003</v>
      </c>
      <c r="I121" s="182">
        <f t="shared" si="27"/>
        <v>0.24645833333333333</v>
      </c>
      <c r="J121" s="602"/>
    </row>
    <row r="122" spans="1:10" s="171" customFormat="1" ht="15.75">
      <c r="A122" s="125">
        <v>105</v>
      </c>
      <c r="B122" s="124" t="s">
        <v>14</v>
      </c>
      <c r="C122" s="125" t="s">
        <v>7</v>
      </c>
      <c r="D122" s="454">
        <v>2.9999999999999997E-4</v>
      </c>
      <c r="E122" s="175">
        <v>2.9999999999999997E-4</v>
      </c>
      <c r="F122" s="152">
        <f t="shared" si="28"/>
        <v>379.16666666666669</v>
      </c>
      <c r="G122" s="152">
        <f>'II.3 ĐG DC'!K14</f>
        <v>379.16666666666669</v>
      </c>
      <c r="H122" s="182">
        <f t="shared" si="26"/>
        <v>0.11374999999999999</v>
      </c>
      <c r="I122" s="182">
        <f t="shared" si="27"/>
        <v>0.11374999999999999</v>
      </c>
      <c r="J122" s="602"/>
    </row>
    <row r="123" spans="1:10" s="171" customFormat="1" ht="15.75">
      <c r="A123" s="173" t="s">
        <v>136</v>
      </c>
      <c r="B123" s="174" t="s">
        <v>355</v>
      </c>
      <c r="C123" s="124"/>
      <c r="D123" s="454"/>
      <c r="E123" s="175"/>
      <c r="F123" s="152"/>
      <c r="G123" s="152"/>
      <c r="H123" s="182"/>
      <c r="I123" s="182"/>
      <c r="J123" s="602"/>
    </row>
    <row r="124" spans="1:10" s="171" customFormat="1" ht="15.75">
      <c r="A124" s="125">
        <v>106</v>
      </c>
      <c r="B124" s="124" t="s">
        <v>11</v>
      </c>
      <c r="C124" s="125" t="s">
        <v>12</v>
      </c>
      <c r="D124" s="454">
        <v>3.8400000000000023E-4</v>
      </c>
      <c r="E124" s="175">
        <v>1E-3</v>
      </c>
      <c r="F124" s="152">
        <f>F19</f>
        <v>6521.666666666667</v>
      </c>
      <c r="G124" s="152">
        <f>'II.3 ĐG DC'!K6</f>
        <v>6521.666666666667</v>
      </c>
      <c r="H124" s="182">
        <f t="shared" ref="H124:H132" si="29">D124*F124</f>
        <v>2.5043200000000017</v>
      </c>
      <c r="I124" s="182">
        <f t="shared" ref="I124:I132" si="30">E124*G124</f>
        <v>6.5216666666666674</v>
      </c>
      <c r="J124" s="602"/>
    </row>
    <row r="125" spans="1:10" s="171" customFormat="1" ht="15.75">
      <c r="A125" s="125">
        <v>107</v>
      </c>
      <c r="B125" s="124" t="s">
        <v>10</v>
      </c>
      <c r="C125" s="125" t="s">
        <v>4</v>
      </c>
      <c r="D125" s="454">
        <v>3.8400000000000023E-4</v>
      </c>
      <c r="E125" s="175">
        <v>1E-3</v>
      </c>
      <c r="F125" s="152">
        <f t="shared" ref="F125:F132" si="31">F20</f>
        <v>944.44444444444446</v>
      </c>
      <c r="G125" s="152">
        <f>'II.3 ĐG DC'!K7</f>
        <v>944.44444444444446</v>
      </c>
      <c r="H125" s="182">
        <f t="shared" si="29"/>
        <v>0.36266666666666686</v>
      </c>
      <c r="I125" s="182">
        <f t="shared" si="30"/>
        <v>0.94444444444444453</v>
      </c>
      <c r="J125" s="602"/>
    </row>
    <row r="126" spans="1:10" s="171" customFormat="1" ht="15.75">
      <c r="A126" s="125">
        <v>108</v>
      </c>
      <c r="B126" s="124" t="s">
        <v>8</v>
      </c>
      <c r="C126" s="125" t="s">
        <v>7</v>
      </c>
      <c r="D126" s="454">
        <v>1.303999999999997E-4</v>
      </c>
      <c r="E126" s="175">
        <v>5.0000000000000001E-4</v>
      </c>
      <c r="F126" s="152">
        <f t="shared" si="31"/>
        <v>2222.2222222222222</v>
      </c>
      <c r="G126" s="152">
        <f>'II.3 ĐG DC'!K8</f>
        <v>2222.2222222222222</v>
      </c>
      <c r="H126" s="182">
        <f t="shared" si="29"/>
        <v>0.28977777777777708</v>
      </c>
      <c r="I126" s="182">
        <f t="shared" si="30"/>
        <v>1.1111111111111112</v>
      </c>
      <c r="J126" s="602"/>
    </row>
    <row r="127" spans="1:10" s="171" customFormat="1" ht="15.75">
      <c r="A127" s="125">
        <v>109</v>
      </c>
      <c r="B127" s="124" t="s">
        <v>119</v>
      </c>
      <c r="C127" s="125" t="s">
        <v>7</v>
      </c>
      <c r="D127" s="454">
        <v>1.303999999999997E-4</v>
      </c>
      <c r="E127" s="175">
        <v>5.0000000000000001E-4</v>
      </c>
      <c r="F127" s="152">
        <f t="shared" si="31"/>
        <v>1600</v>
      </c>
      <c r="G127" s="152">
        <f>'II.3 ĐG DC'!K9</f>
        <v>1600</v>
      </c>
      <c r="H127" s="182">
        <f t="shared" si="29"/>
        <v>0.20863999999999952</v>
      </c>
      <c r="I127" s="182">
        <f t="shared" si="30"/>
        <v>0.8</v>
      </c>
      <c r="J127" s="602"/>
    </row>
    <row r="128" spans="1:10" s="171" customFormat="1" ht="15.75">
      <c r="A128" s="125">
        <v>110</v>
      </c>
      <c r="B128" s="124" t="s">
        <v>6</v>
      </c>
      <c r="C128" s="125" t="s">
        <v>7</v>
      </c>
      <c r="D128" s="454">
        <v>1.303999999999997E-4</v>
      </c>
      <c r="E128" s="175">
        <v>5.0000000000000001E-4</v>
      </c>
      <c r="F128" s="152">
        <f t="shared" si="31"/>
        <v>1600</v>
      </c>
      <c r="G128" s="152">
        <f>'II.3 ĐG DC'!K10</f>
        <v>1500</v>
      </c>
      <c r="H128" s="182">
        <f t="shared" si="29"/>
        <v>0.20863999999999952</v>
      </c>
      <c r="I128" s="182">
        <f t="shared" si="30"/>
        <v>0.75</v>
      </c>
      <c r="J128" s="602"/>
    </row>
    <row r="129" spans="1:10" s="171" customFormat="1" ht="15.75">
      <c r="A129" s="125">
        <v>111</v>
      </c>
      <c r="B129" s="124" t="s">
        <v>9</v>
      </c>
      <c r="C129" s="125" t="s">
        <v>4</v>
      </c>
      <c r="D129" s="454">
        <v>3.8400000000000023E-4</v>
      </c>
      <c r="E129" s="175">
        <v>1E-3</v>
      </c>
      <c r="F129" s="152">
        <f t="shared" si="31"/>
        <v>3185</v>
      </c>
      <c r="G129" s="152">
        <f>'II.3 ĐG DC'!K11</f>
        <v>3185</v>
      </c>
      <c r="H129" s="182">
        <f t="shared" si="29"/>
        <v>1.2230400000000008</v>
      </c>
      <c r="I129" s="182">
        <f t="shared" si="30"/>
        <v>3.1850000000000001</v>
      </c>
      <c r="J129" s="602"/>
    </row>
    <row r="130" spans="1:10" s="171" customFormat="1" ht="15.75">
      <c r="A130" s="125">
        <v>112</v>
      </c>
      <c r="B130" s="124" t="s">
        <v>13</v>
      </c>
      <c r="C130" s="125" t="s">
        <v>4</v>
      </c>
      <c r="D130" s="454">
        <v>1.303999999999997E-4</v>
      </c>
      <c r="E130" s="175">
        <v>5.0000000000000001E-4</v>
      </c>
      <c r="F130" s="152">
        <f t="shared" si="31"/>
        <v>1611.4583333333333</v>
      </c>
      <c r="G130" s="152">
        <f>'II.3 ĐG DC'!K12</f>
        <v>1611.4583333333333</v>
      </c>
      <c r="H130" s="182">
        <f t="shared" si="29"/>
        <v>0.21013416666666618</v>
      </c>
      <c r="I130" s="182">
        <f t="shared" si="30"/>
        <v>0.80572916666666661</v>
      </c>
      <c r="J130" s="602"/>
    </row>
    <row r="131" spans="1:10" s="171" customFormat="1" ht="15.75">
      <c r="A131" s="125">
        <v>113</v>
      </c>
      <c r="B131" s="124" t="s">
        <v>3</v>
      </c>
      <c r="C131" s="125" t="s">
        <v>4</v>
      </c>
      <c r="D131" s="454">
        <v>3.8400000000000023E-4</v>
      </c>
      <c r="E131" s="175">
        <v>1E-3</v>
      </c>
      <c r="F131" s="152">
        <f t="shared" si="31"/>
        <v>492.91666666666669</v>
      </c>
      <c r="G131" s="152">
        <f>'II.3 ĐG DC'!K13</f>
        <v>492.91666666666669</v>
      </c>
      <c r="H131" s="182">
        <f t="shared" si="29"/>
        <v>0.18928000000000011</v>
      </c>
      <c r="I131" s="182">
        <f t="shared" si="30"/>
        <v>0.49291666666666667</v>
      </c>
      <c r="J131" s="602"/>
    </row>
    <row r="132" spans="1:10" s="171" customFormat="1" ht="15.75">
      <c r="A132" s="125">
        <v>114</v>
      </c>
      <c r="B132" s="124" t="s">
        <v>14</v>
      </c>
      <c r="C132" s="125" t="s">
        <v>7</v>
      </c>
      <c r="D132" s="454">
        <v>1.303999999999997E-4</v>
      </c>
      <c r="E132" s="175">
        <v>5.0000000000000001E-4</v>
      </c>
      <c r="F132" s="152">
        <f t="shared" si="31"/>
        <v>379.16666666666669</v>
      </c>
      <c r="G132" s="152">
        <f>'II.3 ĐG DC'!K14</f>
        <v>379.16666666666669</v>
      </c>
      <c r="H132" s="182">
        <f t="shared" si="29"/>
        <v>4.9443333333333221E-2</v>
      </c>
      <c r="I132" s="182">
        <f t="shared" si="30"/>
        <v>0.18958333333333335</v>
      </c>
      <c r="J132" s="602"/>
    </row>
    <row r="133" spans="1:10" s="171" customFormat="1" ht="47.25">
      <c r="A133" s="173" t="s">
        <v>138</v>
      </c>
      <c r="B133" s="174" t="s">
        <v>139</v>
      </c>
      <c r="C133" s="124"/>
      <c r="D133" s="454"/>
      <c r="E133" s="175"/>
      <c r="F133" s="152"/>
      <c r="G133" s="152"/>
      <c r="H133" s="182"/>
      <c r="I133" s="182"/>
      <c r="J133" s="602"/>
    </row>
    <row r="134" spans="1:10" s="171" customFormat="1" ht="15.75">
      <c r="A134" s="125">
        <v>115</v>
      </c>
      <c r="B134" s="124" t="s">
        <v>11</v>
      </c>
      <c r="C134" s="125" t="s">
        <v>12</v>
      </c>
      <c r="D134" s="454">
        <v>2.8226666666666955E-4</v>
      </c>
      <c r="E134" s="175">
        <v>4.5999999999999999E-3</v>
      </c>
      <c r="F134" s="152">
        <f>F19</f>
        <v>6521.666666666667</v>
      </c>
      <c r="G134" s="152">
        <f>'II.3 ĐG DC'!K6</f>
        <v>6521.666666666667</v>
      </c>
      <c r="H134" s="182">
        <f t="shared" ref="H134:I137" si="32">D134*F134</f>
        <v>1.84084911111113</v>
      </c>
      <c r="I134" s="182">
        <f t="shared" si="32"/>
        <v>29.999666666666666</v>
      </c>
      <c r="J134" s="602"/>
    </row>
    <row r="135" spans="1:10" s="171" customFormat="1" ht="15.75">
      <c r="A135" s="125">
        <v>116</v>
      </c>
      <c r="B135" s="124" t="s">
        <v>10</v>
      </c>
      <c r="C135" s="125" t="s">
        <v>4</v>
      </c>
      <c r="D135" s="454">
        <v>2.8226666666666955E-4</v>
      </c>
      <c r="E135" s="175">
        <v>4.5999999999999999E-3</v>
      </c>
      <c r="F135" s="152">
        <f t="shared" ref="F135:F142" si="33">F20</f>
        <v>944.44444444444446</v>
      </c>
      <c r="G135" s="152">
        <f>'II.3 ĐG DC'!K7</f>
        <v>944.44444444444446</v>
      </c>
      <c r="H135" s="182">
        <f t="shared" si="32"/>
        <v>0.26658518518518792</v>
      </c>
      <c r="I135" s="182">
        <f t="shared" si="32"/>
        <v>4.3444444444444441</v>
      </c>
      <c r="J135" s="602"/>
    </row>
    <row r="136" spans="1:10" s="171" customFormat="1" ht="15.75">
      <c r="A136" s="125">
        <v>117</v>
      </c>
      <c r="B136" s="124" t="s">
        <v>8</v>
      </c>
      <c r="C136" s="125" t="s">
        <v>7</v>
      </c>
      <c r="D136" s="454">
        <v>1.5779999999999961E-4</v>
      </c>
      <c r="E136" s="175">
        <v>2.3E-3</v>
      </c>
      <c r="F136" s="152">
        <f t="shared" si="33"/>
        <v>2222.2222222222222</v>
      </c>
      <c r="G136" s="152">
        <f>'II.3 ĐG DC'!K8</f>
        <v>2222.2222222222222</v>
      </c>
      <c r="H136" s="182">
        <f t="shared" si="32"/>
        <v>0.35066666666666579</v>
      </c>
      <c r="I136" s="182">
        <f t="shared" si="32"/>
        <v>5.1111111111111107</v>
      </c>
      <c r="J136" s="602"/>
    </row>
    <row r="137" spans="1:10" s="171" customFormat="1" ht="15.75">
      <c r="A137" s="125">
        <v>118</v>
      </c>
      <c r="B137" s="124" t="s">
        <v>119</v>
      </c>
      <c r="C137" s="125" t="s">
        <v>7</v>
      </c>
      <c r="D137" s="454">
        <v>1.5779999999999961E-4</v>
      </c>
      <c r="E137" s="175">
        <v>2.3E-3</v>
      </c>
      <c r="F137" s="152">
        <f t="shared" si="33"/>
        <v>1600</v>
      </c>
      <c r="G137" s="152">
        <f>'II.3 ĐG DC'!K9</f>
        <v>1600</v>
      </c>
      <c r="H137" s="182">
        <f t="shared" si="32"/>
        <v>0.25247999999999937</v>
      </c>
      <c r="I137" s="182">
        <f t="shared" si="32"/>
        <v>3.6799999999999997</v>
      </c>
      <c r="J137" s="602"/>
    </row>
    <row r="138" spans="1:10" s="171" customFormat="1" ht="15.75">
      <c r="A138" s="125">
        <v>119</v>
      </c>
      <c r="B138" s="124" t="s">
        <v>6</v>
      </c>
      <c r="C138" s="125" t="s">
        <v>7</v>
      </c>
      <c r="D138" s="454">
        <v>1.5779999999999961E-4</v>
      </c>
      <c r="E138" s="175">
        <v>2.3E-3</v>
      </c>
      <c r="F138" s="152">
        <f t="shared" si="33"/>
        <v>1600</v>
      </c>
      <c r="G138" s="152">
        <f>'II.3 ĐG DC'!K10</f>
        <v>1500</v>
      </c>
      <c r="H138" s="182">
        <f t="shared" ref="H138:H141" si="34">D138*F138</f>
        <v>0.25247999999999937</v>
      </c>
      <c r="I138" s="182">
        <f>E138*G138</f>
        <v>3.4499999999999997</v>
      </c>
      <c r="J138" s="602"/>
    </row>
    <row r="139" spans="1:10" s="171" customFormat="1" ht="15.75">
      <c r="A139" s="125">
        <v>120</v>
      </c>
      <c r="B139" s="124" t="s">
        <v>9</v>
      </c>
      <c r="C139" s="125" t="s">
        <v>4</v>
      </c>
      <c r="D139" s="454">
        <v>2.8226666666666955E-4</v>
      </c>
      <c r="E139" s="175">
        <v>4.5999999999999999E-3</v>
      </c>
      <c r="F139" s="152">
        <f t="shared" si="33"/>
        <v>3185</v>
      </c>
      <c r="G139" s="152">
        <f>'II.3 ĐG DC'!K11</f>
        <v>3185</v>
      </c>
      <c r="H139" s="182">
        <f t="shared" si="34"/>
        <v>0.8990193333333425</v>
      </c>
      <c r="I139" s="182">
        <f>E139*G139</f>
        <v>14.651</v>
      </c>
      <c r="J139" s="602"/>
    </row>
    <row r="140" spans="1:10" s="171" customFormat="1" ht="15.75">
      <c r="A140" s="125">
        <v>121</v>
      </c>
      <c r="B140" s="124" t="s">
        <v>13</v>
      </c>
      <c r="C140" s="125" t="s">
        <v>4</v>
      </c>
      <c r="D140" s="454">
        <v>1.5779999999999961E-4</v>
      </c>
      <c r="E140" s="175">
        <v>2.3E-3</v>
      </c>
      <c r="F140" s="152">
        <f t="shared" si="33"/>
        <v>1611.4583333333333</v>
      </c>
      <c r="G140" s="152">
        <f>'II.3 ĐG DC'!K12</f>
        <v>1611.4583333333333</v>
      </c>
      <c r="H140" s="182">
        <f t="shared" si="34"/>
        <v>0.25428812499999937</v>
      </c>
      <c r="I140" s="182">
        <f>E140*G140</f>
        <v>3.7063541666666664</v>
      </c>
      <c r="J140" s="602"/>
    </row>
    <row r="141" spans="1:10" s="171" customFormat="1" ht="15.75">
      <c r="A141" s="125">
        <v>122</v>
      </c>
      <c r="B141" s="124" t="s">
        <v>3</v>
      </c>
      <c r="C141" s="125" t="s">
        <v>4</v>
      </c>
      <c r="D141" s="454">
        <v>4.3912666666666659E-3</v>
      </c>
      <c r="E141" s="175">
        <v>4.5999999999999999E-3</v>
      </c>
      <c r="F141" s="152">
        <f t="shared" si="33"/>
        <v>492.91666666666669</v>
      </c>
      <c r="G141" s="152">
        <f>'II.3 ĐG DC'!K13</f>
        <v>492.91666666666669</v>
      </c>
      <c r="H141" s="182">
        <f t="shared" si="34"/>
        <v>2.1645285277777773</v>
      </c>
      <c r="I141" s="182">
        <f>E141*G141</f>
        <v>2.2674166666666666</v>
      </c>
      <c r="J141" s="602"/>
    </row>
    <row r="142" spans="1:10" s="171" customFormat="1" ht="15.75">
      <c r="A142" s="125">
        <v>123</v>
      </c>
      <c r="B142" s="124" t="s">
        <v>14</v>
      </c>
      <c r="C142" s="125" t="s">
        <v>7</v>
      </c>
      <c r="D142" s="454">
        <v>1.5779999999999961E-4</v>
      </c>
      <c r="E142" s="175">
        <v>2.3E-3</v>
      </c>
      <c r="F142" s="152">
        <f t="shared" si="33"/>
        <v>379.16666666666669</v>
      </c>
      <c r="G142" s="152">
        <f>'II.3 ĐG DC'!K14</f>
        <v>379.16666666666669</v>
      </c>
      <c r="H142" s="182">
        <f>D142*F142</f>
        <v>5.9832499999999851E-2</v>
      </c>
      <c r="I142" s="182">
        <f>E142*G142</f>
        <v>0.87208333333333332</v>
      </c>
      <c r="J142" s="603"/>
    </row>
    <row r="143" spans="1:10" ht="15.75">
      <c r="A143" s="125"/>
      <c r="B143" s="180" t="s">
        <v>357</v>
      </c>
      <c r="C143" s="125"/>
      <c r="D143" s="125"/>
      <c r="E143" s="175"/>
      <c r="F143" s="152"/>
      <c r="G143" s="152"/>
      <c r="H143" s="184">
        <f>SUM(H7:H142)</f>
        <v>1447.9203945333336</v>
      </c>
      <c r="I143" s="184">
        <f>SUM(I7:I142)</f>
        <v>1089.8901597222221</v>
      </c>
      <c r="J143" s="172"/>
    </row>
  </sheetData>
  <mergeCells count="10">
    <mergeCell ref="J7:J142"/>
    <mergeCell ref="A1:J1"/>
    <mergeCell ref="A2:J2"/>
    <mergeCell ref="J4:J5"/>
    <mergeCell ref="D4:E4"/>
    <mergeCell ref="F4:G4"/>
    <mergeCell ref="H4:I4"/>
    <mergeCell ref="A4:A5"/>
    <mergeCell ref="B4:B5"/>
    <mergeCell ref="C4:C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120" zoomScaleNormal="120" workbookViewId="0">
      <pane xSplit="2" ySplit="5" topLeftCell="C6" activePane="bottomRight" state="frozen"/>
      <selection pane="topRight" activeCell="C1" sqref="C1"/>
      <selection pane="bottomLeft" activeCell="A6" sqref="A6"/>
      <selection pane="bottomRight" activeCell="J18" sqref="J18"/>
    </sheetView>
  </sheetViews>
  <sheetFormatPr defaultRowHeight="14.25"/>
  <cols>
    <col min="1" max="1" width="3.75" bestFit="1" customWidth="1"/>
    <col min="2" max="2" width="23.75" customWidth="1"/>
    <col min="4" max="4" width="13.625" customWidth="1"/>
    <col min="5" max="5" width="15.25" customWidth="1"/>
    <col min="6" max="7" width="14.875" customWidth="1"/>
    <col min="8" max="8" width="12.875" customWidth="1"/>
    <col min="9" max="9" width="14.125" style="487" customWidth="1"/>
    <col min="10" max="10" width="16.375" customWidth="1"/>
    <col min="11" max="11" width="15.25" customWidth="1"/>
    <col min="12" max="12" width="36.5" customWidth="1"/>
  </cols>
  <sheetData>
    <row r="1" spans="1:12" ht="18.75" customHeight="1">
      <c r="A1" s="593" t="s">
        <v>432</v>
      </c>
      <c r="B1" s="593"/>
      <c r="C1" s="593"/>
      <c r="D1" s="593"/>
      <c r="E1" s="593"/>
      <c r="F1" s="593"/>
      <c r="G1" s="593"/>
      <c r="H1" s="593"/>
      <c r="I1" s="593"/>
      <c r="J1" s="593"/>
      <c r="K1" s="593"/>
      <c r="L1" s="593"/>
    </row>
    <row r="2" spans="1:12" ht="18.75">
      <c r="A2" s="593" t="s">
        <v>433</v>
      </c>
      <c r="B2" s="593"/>
      <c r="C2" s="593"/>
      <c r="D2" s="593"/>
      <c r="E2" s="593"/>
      <c r="F2" s="593"/>
      <c r="G2" s="593"/>
      <c r="H2" s="593"/>
      <c r="I2" s="593"/>
      <c r="J2" s="593"/>
      <c r="K2" s="593"/>
      <c r="L2" s="593"/>
    </row>
    <row r="3" spans="1:12" ht="14.25" customHeight="1"/>
    <row r="4" spans="1:12" ht="26.25" customHeight="1">
      <c r="A4" s="613" t="s">
        <v>19</v>
      </c>
      <c r="B4" s="613" t="s">
        <v>26</v>
      </c>
      <c r="C4" s="613" t="s">
        <v>27</v>
      </c>
      <c r="D4" s="615" t="s">
        <v>348</v>
      </c>
      <c r="E4" s="616"/>
      <c r="F4" s="615" t="s">
        <v>351</v>
      </c>
      <c r="G4" s="616"/>
      <c r="H4" s="615" t="s">
        <v>723</v>
      </c>
      <c r="I4" s="616"/>
      <c r="J4" s="615" t="s">
        <v>352</v>
      </c>
      <c r="K4" s="616"/>
      <c r="L4" s="613" t="s">
        <v>40</v>
      </c>
    </row>
    <row r="5" spans="1:12" ht="42.75" customHeight="1">
      <c r="A5" s="614"/>
      <c r="B5" s="614"/>
      <c r="C5" s="614"/>
      <c r="D5" s="448" t="s">
        <v>349</v>
      </c>
      <c r="E5" s="451" t="s">
        <v>350</v>
      </c>
      <c r="F5" s="448" t="s">
        <v>349</v>
      </c>
      <c r="G5" s="451" t="s">
        <v>350</v>
      </c>
      <c r="H5" s="448" t="s">
        <v>349</v>
      </c>
      <c r="I5" s="488" t="s">
        <v>350</v>
      </c>
      <c r="J5" s="448" t="s">
        <v>349</v>
      </c>
      <c r="K5" s="451" t="s">
        <v>350</v>
      </c>
      <c r="L5" s="614"/>
    </row>
    <row r="6" spans="1:12" s="170" customFormat="1" ht="15">
      <c r="A6" s="366">
        <v>1</v>
      </c>
      <c r="B6" s="367" t="s">
        <v>11</v>
      </c>
      <c r="C6" s="366" t="s">
        <v>12</v>
      </c>
      <c r="D6" s="366">
        <v>6</v>
      </c>
      <c r="E6" s="366">
        <v>6</v>
      </c>
      <c r="F6" s="366">
        <f>D6*30</f>
        <v>180</v>
      </c>
      <c r="G6" s="366">
        <f>E6*30</f>
        <v>180</v>
      </c>
      <c r="H6" s="452">
        <f>F29</f>
        <v>1173900</v>
      </c>
      <c r="I6" s="169">
        <f>H6</f>
        <v>1173900</v>
      </c>
      <c r="J6" s="453">
        <f t="shared" ref="J6:J21" si="0">H6/F6</f>
        <v>6521.666666666667</v>
      </c>
      <c r="K6" s="453">
        <f t="shared" ref="K6:K21" si="1">I6/G6</f>
        <v>6521.666666666667</v>
      </c>
      <c r="L6" s="610" t="s">
        <v>724</v>
      </c>
    </row>
    <row r="7" spans="1:12" s="170" customFormat="1" ht="15">
      <c r="A7" s="366">
        <v>2</v>
      </c>
      <c r="B7" s="367" t="s">
        <v>10</v>
      </c>
      <c r="C7" s="366" t="s">
        <v>4</v>
      </c>
      <c r="D7" s="366">
        <v>6</v>
      </c>
      <c r="E7" s="366">
        <v>6</v>
      </c>
      <c r="F7" s="366">
        <f t="shared" ref="F7:F15" si="2">D7*30</f>
        <v>180</v>
      </c>
      <c r="G7" s="366">
        <f t="shared" ref="G7:G21" si="3">E7*30</f>
        <v>180</v>
      </c>
      <c r="H7" s="452">
        <f>F30</f>
        <v>170000</v>
      </c>
      <c r="I7" s="169">
        <f>H7</f>
        <v>170000</v>
      </c>
      <c r="J7" s="453">
        <f t="shared" si="0"/>
        <v>944.44444444444446</v>
      </c>
      <c r="K7" s="453">
        <f t="shared" si="1"/>
        <v>944.44444444444446</v>
      </c>
      <c r="L7" s="611"/>
    </row>
    <row r="8" spans="1:12" s="170" customFormat="1" ht="15">
      <c r="A8" s="366">
        <v>3</v>
      </c>
      <c r="B8" s="367" t="s">
        <v>8</v>
      </c>
      <c r="C8" s="366" t="s">
        <v>7</v>
      </c>
      <c r="D8" s="366">
        <v>6</v>
      </c>
      <c r="E8" s="366">
        <v>6</v>
      </c>
      <c r="F8" s="366">
        <f t="shared" si="2"/>
        <v>180</v>
      </c>
      <c r="G8" s="366">
        <f t="shared" si="3"/>
        <v>180</v>
      </c>
      <c r="H8" s="452">
        <f>F35</f>
        <v>400000</v>
      </c>
      <c r="I8" s="169">
        <f>H8</f>
        <v>400000</v>
      </c>
      <c r="J8" s="453">
        <f t="shared" si="0"/>
        <v>2222.2222222222222</v>
      </c>
      <c r="K8" s="453">
        <f t="shared" si="1"/>
        <v>2222.2222222222222</v>
      </c>
      <c r="L8" s="611"/>
    </row>
    <row r="9" spans="1:12" s="170" customFormat="1" ht="15">
      <c r="A9" s="366">
        <v>4</v>
      </c>
      <c r="B9" s="367" t="s">
        <v>119</v>
      </c>
      <c r="C9" s="366" t="s">
        <v>7</v>
      </c>
      <c r="D9" s="366">
        <v>1</v>
      </c>
      <c r="E9" s="366">
        <v>1</v>
      </c>
      <c r="F9" s="366">
        <f t="shared" si="2"/>
        <v>30</v>
      </c>
      <c r="G9" s="366">
        <f t="shared" si="3"/>
        <v>30</v>
      </c>
      <c r="H9" s="452">
        <f>F32</f>
        <v>48000</v>
      </c>
      <c r="I9" s="169">
        <f>H9</f>
        <v>48000</v>
      </c>
      <c r="J9" s="453">
        <f t="shared" si="0"/>
        <v>1600</v>
      </c>
      <c r="K9" s="453">
        <f t="shared" si="1"/>
        <v>1600</v>
      </c>
      <c r="L9" s="611"/>
    </row>
    <row r="10" spans="1:12" s="170" customFormat="1" ht="15">
      <c r="A10" s="366">
        <v>5</v>
      </c>
      <c r="B10" s="367" t="s">
        <v>6</v>
      </c>
      <c r="C10" s="366" t="s">
        <v>7</v>
      </c>
      <c r="D10" s="366">
        <v>1</v>
      </c>
      <c r="E10" s="366">
        <v>1</v>
      </c>
      <c r="F10" s="366">
        <f t="shared" si="2"/>
        <v>30</v>
      </c>
      <c r="G10" s="366">
        <f t="shared" si="3"/>
        <v>30</v>
      </c>
      <c r="H10" s="452">
        <v>48000</v>
      </c>
      <c r="I10" s="169">
        <v>45000</v>
      </c>
      <c r="J10" s="453">
        <f t="shared" si="0"/>
        <v>1600</v>
      </c>
      <c r="K10" s="453">
        <f t="shared" si="1"/>
        <v>1500</v>
      </c>
      <c r="L10" s="611"/>
    </row>
    <row r="11" spans="1:12" s="170" customFormat="1" ht="15">
      <c r="A11" s="366">
        <v>6</v>
      </c>
      <c r="B11" s="368" t="s">
        <v>9</v>
      </c>
      <c r="C11" s="366" t="s">
        <v>4</v>
      </c>
      <c r="D11" s="366">
        <v>1</v>
      </c>
      <c r="E11" s="366">
        <v>1</v>
      </c>
      <c r="F11" s="366">
        <f t="shared" si="2"/>
        <v>30</v>
      </c>
      <c r="G11" s="366">
        <f t="shared" si="3"/>
        <v>30</v>
      </c>
      <c r="H11" s="452">
        <f>F33</f>
        <v>95550</v>
      </c>
      <c r="I11" s="169">
        <f>H11</f>
        <v>95550</v>
      </c>
      <c r="J11" s="453">
        <f t="shared" si="0"/>
        <v>3185</v>
      </c>
      <c r="K11" s="453">
        <f t="shared" si="1"/>
        <v>3185</v>
      </c>
      <c r="L11" s="611"/>
    </row>
    <row r="12" spans="1:12" s="170" customFormat="1" ht="15">
      <c r="A12" s="366">
        <v>7</v>
      </c>
      <c r="B12" s="367" t="s">
        <v>13</v>
      </c>
      <c r="C12" s="366" t="s">
        <v>12</v>
      </c>
      <c r="D12" s="366">
        <v>12</v>
      </c>
      <c r="E12" s="366">
        <v>12</v>
      </c>
      <c r="F12" s="366">
        <f t="shared" si="2"/>
        <v>360</v>
      </c>
      <c r="G12" s="366">
        <f t="shared" si="3"/>
        <v>360</v>
      </c>
      <c r="H12" s="452">
        <f>F36</f>
        <v>580125</v>
      </c>
      <c r="I12" s="169">
        <f>H12</f>
        <v>580125</v>
      </c>
      <c r="J12" s="453">
        <f t="shared" si="0"/>
        <v>1611.4583333333333</v>
      </c>
      <c r="K12" s="453">
        <f t="shared" si="1"/>
        <v>1611.4583333333333</v>
      </c>
      <c r="L12" s="611"/>
    </row>
    <row r="13" spans="1:12" s="170" customFormat="1" ht="15">
      <c r="A13" s="366">
        <v>8</v>
      </c>
      <c r="B13" s="367" t="s">
        <v>3</v>
      </c>
      <c r="C13" s="366" t="s">
        <v>4</v>
      </c>
      <c r="D13" s="366">
        <v>12</v>
      </c>
      <c r="E13" s="366">
        <v>12</v>
      </c>
      <c r="F13" s="366">
        <f t="shared" si="2"/>
        <v>360</v>
      </c>
      <c r="G13" s="366">
        <f t="shared" si="3"/>
        <v>360</v>
      </c>
      <c r="H13" s="452">
        <f>F37</f>
        <v>177450</v>
      </c>
      <c r="I13" s="169">
        <f>H13</f>
        <v>177450</v>
      </c>
      <c r="J13" s="453">
        <f t="shared" si="0"/>
        <v>492.91666666666669</v>
      </c>
      <c r="K13" s="453">
        <f t="shared" si="1"/>
        <v>492.91666666666669</v>
      </c>
      <c r="L13" s="611"/>
    </row>
    <row r="14" spans="1:12" s="170" customFormat="1" ht="15">
      <c r="A14" s="366">
        <v>9</v>
      </c>
      <c r="B14" s="367" t="s">
        <v>14</v>
      </c>
      <c r="C14" s="366" t="s">
        <v>7</v>
      </c>
      <c r="D14" s="366">
        <v>12</v>
      </c>
      <c r="E14" s="366">
        <v>12</v>
      </c>
      <c r="F14" s="366">
        <f t="shared" si="2"/>
        <v>360</v>
      </c>
      <c r="G14" s="366">
        <f t="shared" si="3"/>
        <v>360</v>
      </c>
      <c r="H14" s="452">
        <f>F34</f>
        <v>136500</v>
      </c>
      <c r="I14" s="169">
        <f>H14</f>
        <v>136500</v>
      </c>
      <c r="J14" s="453">
        <f t="shared" si="0"/>
        <v>379.16666666666669</v>
      </c>
      <c r="K14" s="453">
        <f t="shared" si="1"/>
        <v>379.16666666666669</v>
      </c>
      <c r="L14" s="611"/>
    </row>
    <row r="15" spans="1:12" s="170" customFormat="1" ht="15">
      <c r="A15" s="366">
        <v>10</v>
      </c>
      <c r="B15" s="367" t="s">
        <v>5</v>
      </c>
      <c r="C15" s="366" t="s">
        <v>4</v>
      </c>
      <c r="D15" s="366">
        <v>6</v>
      </c>
      <c r="E15" s="366">
        <v>12</v>
      </c>
      <c r="F15" s="366">
        <f t="shared" si="2"/>
        <v>180</v>
      </c>
      <c r="G15" s="163">
        <f t="shared" si="3"/>
        <v>360</v>
      </c>
      <c r="H15" s="452">
        <f>F26</f>
        <v>35700</v>
      </c>
      <c r="I15" s="169">
        <v>35700</v>
      </c>
      <c r="J15" s="453">
        <f t="shared" si="0"/>
        <v>198.33333333333334</v>
      </c>
      <c r="K15" s="453">
        <f t="shared" si="1"/>
        <v>99.166666666666671</v>
      </c>
      <c r="L15" s="611"/>
    </row>
    <row r="16" spans="1:12" s="170" customFormat="1" ht="15">
      <c r="A16" s="366">
        <v>11</v>
      </c>
      <c r="B16" s="367" t="s">
        <v>15</v>
      </c>
      <c r="C16" s="366" t="s">
        <v>4</v>
      </c>
      <c r="D16" s="366">
        <v>12</v>
      </c>
      <c r="E16" s="366">
        <v>6</v>
      </c>
      <c r="F16" s="366">
        <f t="shared" ref="F16" si="4">D16*30</f>
        <v>360</v>
      </c>
      <c r="G16" s="163">
        <f t="shared" si="3"/>
        <v>180</v>
      </c>
      <c r="H16" s="452">
        <f>F27</f>
        <v>61950</v>
      </c>
      <c r="I16" s="169">
        <f>H16</f>
        <v>61950</v>
      </c>
      <c r="J16" s="453">
        <f t="shared" si="0"/>
        <v>172.08333333333334</v>
      </c>
      <c r="K16" s="453">
        <f t="shared" si="1"/>
        <v>344.16666666666669</v>
      </c>
      <c r="L16" s="611"/>
    </row>
    <row r="17" spans="1:12" s="170" customFormat="1" ht="15">
      <c r="A17" s="366">
        <v>12</v>
      </c>
      <c r="B17" s="367" t="s">
        <v>120</v>
      </c>
      <c r="C17" s="366" t="s">
        <v>4</v>
      </c>
      <c r="D17" s="366">
        <v>12</v>
      </c>
      <c r="E17" s="366">
        <v>12</v>
      </c>
      <c r="F17" s="366">
        <f>D17*30</f>
        <v>360</v>
      </c>
      <c r="G17" s="164">
        <f t="shared" si="3"/>
        <v>360</v>
      </c>
      <c r="H17" s="452">
        <f>F39</f>
        <v>122850</v>
      </c>
      <c r="I17" s="169">
        <v>65000</v>
      </c>
      <c r="J17" s="453">
        <f t="shared" si="0"/>
        <v>341.25</v>
      </c>
      <c r="K17" s="453">
        <f t="shared" si="1"/>
        <v>180.55555555555554</v>
      </c>
      <c r="L17" s="611"/>
    </row>
    <row r="18" spans="1:12" s="170" customFormat="1" ht="15">
      <c r="A18" s="366">
        <v>13</v>
      </c>
      <c r="B18" s="367" t="s">
        <v>121</v>
      </c>
      <c r="C18" s="366" t="s">
        <v>4</v>
      </c>
      <c r="D18" s="366">
        <v>24</v>
      </c>
      <c r="E18" s="366">
        <v>12</v>
      </c>
      <c r="F18" s="366">
        <f>D18*30</f>
        <v>720</v>
      </c>
      <c r="G18" s="163">
        <f t="shared" si="3"/>
        <v>360</v>
      </c>
      <c r="H18" s="452">
        <f>'[3]01.03.a Gia CCDC'!$E$18</f>
        <v>1526070</v>
      </c>
      <c r="I18" s="169">
        <v>685000</v>
      </c>
      <c r="J18" s="453">
        <f t="shared" si="0"/>
        <v>2119.5416666666665</v>
      </c>
      <c r="K18" s="453">
        <f t="shared" si="1"/>
        <v>1902.7777777777778</v>
      </c>
      <c r="L18" s="611"/>
    </row>
    <row r="19" spans="1:12" s="170" customFormat="1" ht="15">
      <c r="A19" s="366">
        <v>14</v>
      </c>
      <c r="B19" s="367" t="s">
        <v>122</v>
      </c>
      <c r="C19" s="366" t="s">
        <v>4</v>
      </c>
      <c r="D19" s="366">
        <v>24</v>
      </c>
      <c r="E19" s="366">
        <v>12</v>
      </c>
      <c r="F19" s="366">
        <f>D19*30</f>
        <v>720</v>
      </c>
      <c r="G19" s="163">
        <f t="shared" si="3"/>
        <v>360</v>
      </c>
      <c r="H19" s="452">
        <f>'[3]01.03.a Gia CCDC'!$E$19</f>
        <v>273000</v>
      </c>
      <c r="I19" s="169">
        <v>3500000</v>
      </c>
      <c r="J19" s="453">
        <f t="shared" si="0"/>
        <v>379.16666666666669</v>
      </c>
      <c r="K19" s="453">
        <f t="shared" si="1"/>
        <v>9722.2222222222226</v>
      </c>
      <c r="L19" s="611"/>
    </row>
    <row r="20" spans="1:12" s="170" customFormat="1" ht="15">
      <c r="A20" s="366">
        <v>15</v>
      </c>
      <c r="B20" s="367" t="s">
        <v>123</v>
      </c>
      <c r="C20" s="366" t="s">
        <v>4</v>
      </c>
      <c r="D20" s="366">
        <v>12</v>
      </c>
      <c r="E20" s="366">
        <v>12</v>
      </c>
      <c r="F20" s="366">
        <f>D20*30</f>
        <v>360</v>
      </c>
      <c r="G20" s="366">
        <f t="shared" si="3"/>
        <v>360</v>
      </c>
      <c r="H20" s="452">
        <f>'[3]01.03.a Gia CCDC'!$E$20</f>
        <v>1526070</v>
      </c>
      <c r="I20" s="169">
        <v>75000</v>
      </c>
      <c r="J20" s="453">
        <f t="shared" si="0"/>
        <v>4239.083333333333</v>
      </c>
      <c r="K20" s="453">
        <f t="shared" si="1"/>
        <v>208.33333333333334</v>
      </c>
      <c r="L20" s="611"/>
    </row>
    <row r="21" spans="1:12" s="170" customFormat="1" ht="15">
      <c r="A21" s="366">
        <v>16</v>
      </c>
      <c r="B21" s="367" t="s">
        <v>124</v>
      </c>
      <c r="C21" s="366" t="s">
        <v>4</v>
      </c>
      <c r="D21" s="366">
        <v>12</v>
      </c>
      <c r="E21" s="366">
        <v>12</v>
      </c>
      <c r="F21" s="366">
        <f>D21*30</f>
        <v>360</v>
      </c>
      <c r="G21" s="366">
        <f t="shared" si="3"/>
        <v>360</v>
      </c>
      <c r="H21" s="452">
        <f>'[3]01.03.a Gia CCDC'!$E$21</f>
        <v>7800000</v>
      </c>
      <c r="I21" s="169">
        <v>230000</v>
      </c>
      <c r="J21" s="453">
        <f t="shared" si="0"/>
        <v>21666.666666666668</v>
      </c>
      <c r="K21" s="453">
        <f t="shared" si="1"/>
        <v>638.88888888888891</v>
      </c>
      <c r="L21" s="612"/>
    </row>
    <row r="22" spans="1:12">
      <c r="J22" s="165"/>
      <c r="K22" s="165"/>
    </row>
    <row r="24" spans="1:12" ht="14.25" hidden="1" customHeight="1">
      <c r="A24" s="617" t="s">
        <v>19</v>
      </c>
      <c r="B24" s="619" t="s">
        <v>26</v>
      </c>
      <c r="C24" s="620" t="s">
        <v>27</v>
      </c>
      <c r="D24" s="48" t="s">
        <v>211</v>
      </c>
      <c r="E24" s="141"/>
      <c r="F24" s="617" t="s">
        <v>212</v>
      </c>
      <c r="G24" s="161"/>
    </row>
    <row r="25" spans="1:12" hidden="1">
      <c r="A25" s="618"/>
      <c r="B25" s="619"/>
      <c r="C25" s="620"/>
      <c r="D25" s="48" t="s">
        <v>213</v>
      </c>
      <c r="E25" s="142"/>
      <c r="F25" s="618"/>
      <c r="G25" s="161"/>
    </row>
    <row r="26" spans="1:12" ht="15" hidden="1">
      <c r="A26" s="50">
        <v>1</v>
      </c>
      <c r="B26" s="51" t="s">
        <v>5</v>
      </c>
      <c r="C26" s="50" t="s">
        <v>4</v>
      </c>
      <c r="D26" s="50">
        <v>6</v>
      </c>
      <c r="E26" s="50"/>
      <c r="F26" s="55">
        <v>35700</v>
      </c>
      <c r="G26" s="162"/>
    </row>
    <row r="27" spans="1:12" ht="15" hidden="1">
      <c r="A27" s="50">
        <v>2</v>
      </c>
      <c r="B27" s="51" t="s">
        <v>15</v>
      </c>
      <c r="C27" s="50" t="s">
        <v>4</v>
      </c>
      <c r="D27" s="50">
        <v>12</v>
      </c>
      <c r="E27" s="50"/>
      <c r="F27" s="55">
        <v>61950</v>
      </c>
      <c r="G27" s="162"/>
    </row>
    <row r="28" spans="1:12" ht="15" hidden="1">
      <c r="A28" s="50">
        <v>3</v>
      </c>
      <c r="B28" s="51" t="s">
        <v>214</v>
      </c>
      <c r="C28" s="50" t="s">
        <v>4</v>
      </c>
      <c r="D28" s="50">
        <v>6</v>
      </c>
      <c r="E28" s="50"/>
      <c r="F28" s="55">
        <v>215000</v>
      </c>
      <c r="G28" s="162"/>
    </row>
    <row r="29" spans="1:12" ht="15" hidden="1">
      <c r="A29" s="50">
        <v>4</v>
      </c>
      <c r="B29" s="51" t="s">
        <v>11</v>
      </c>
      <c r="C29" s="50" t="s">
        <v>12</v>
      </c>
      <c r="D29" s="50">
        <v>6</v>
      </c>
      <c r="E29" s="50"/>
      <c r="F29" s="55">
        <v>1173900</v>
      </c>
      <c r="G29" s="162"/>
    </row>
    <row r="30" spans="1:12" ht="15" hidden="1">
      <c r="A30" s="50">
        <v>5</v>
      </c>
      <c r="B30" s="51" t="s">
        <v>10</v>
      </c>
      <c r="C30" s="50" t="s">
        <v>4</v>
      </c>
      <c r="D30" s="50">
        <v>6</v>
      </c>
      <c r="E30" s="50"/>
      <c r="F30" s="55">
        <v>170000</v>
      </c>
      <c r="G30" s="162"/>
    </row>
    <row r="31" spans="1:12" ht="15" hidden="1">
      <c r="A31" s="50">
        <v>6</v>
      </c>
      <c r="B31" s="51" t="s">
        <v>6</v>
      </c>
      <c r="C31" s="50" t="s">
        <v>7</v>
      </c>
      <c r="D31" s="50">
        <v>1</v>
      </c>
      <c r="E31" s="50"/>
      <c r="F31" s="55">
        <v>16800</v>
      </c>
      <c r="G31" s="162"/>
    </row>
    <row r="32" spans="1:12" ht="15" hidden="1">
      <c r="A32" s="50">
        <v>6</v>
      </c>
      <c r="B32" s="51" t="s">
        <v>119</v>
      </c>
      <c r="C32" s="50" t="s">
        <v>7</v>
      </c>
      <c r="D32" s="50">
        <v>1</v>
      </c>
      <c r="E32" s="50"/>
      <c r="F32" s="55">
        <v>48000</v>
      </c>
      <c r="G32" s="162"/>
    </row>
    <row r="33" spans="1:7" ht="15" hidden="1">
      <c r="A33" s="50">
        <v>7</v>
      </c>
      <c r="B33" s="52" t="s">
        <v>9</v>
      </c>
      <c r="C33" s="50" t="s">
        <v>4</v>
      </c>
      <c r="D33" s="50">
        <v>1</v>
      </c>
      <c r="E33" s="50"/>
      <c r="F33" s="55">
        <v>95550</v>
      </c>
      <c r="G33" s="162"/>
    </row>
    <row r="34" spans="1:7" ht="15" hidden="1">
      <c r="A34" s="50">
        <v>8</v>
      </c>
      <c r="B34" s="51" t="s">
        <v>14</v>
      </c>
      <c r="C34" s="50" t="s">
        <v>7</v>
      </c>
      <c r="D34" s="50">
        <v>12</v>
      </c>
      <c r="E34" s="50"/>
      <c r="F34" s="55">
        <v>136500</v>
      </c>
      <c r="G34" s="162"/>
    </row>
    <row r="35" spans="1:7" ht="15" hidden="1">
      <c r="A35" s="50">
        <v>9</v>
      </c>
      <c r="B35" s="51" t="s">
        <v>8</v>
      </c>
      <c r="C35" s="50" t="s">
        <v>7</v>
      </c>
      <c r="D35" s="50">
        <v>6</v>
      </c>
      <c r="E35" s="50"/>
      <c r="F35" s="55">
        <v>400000</v>
      </c>
      <c r="G35" s="162"/>
    </row>
    <row r="36" spans="1:7" ht="15" hidden="1">
      <c r="A36" s="50">
        <v>10</v>
      </c>
      <c r="B36" s="51" t="s">
        <v>13</v>
      </c>
      <c r="C36" s="50" t="s">
        <v>12</v>
      </c>
      <c r="D36" s="50">
        <v>12</v>
      </c>
      <c r="E36" s="50"/>
      <c r="F36" s="55">
        <v>580125</v>
      </c>
      <c r="G36" s="162"/>
    </row>
    <row r="37" spans="1:7" ht="15" hidden="1">
      <c r="A37" s="50">
        <v>11</v>
      </c>
      <c r="B37" s="51" t="s">
        <v>3</v>
      </c>
      <c r="C37" s="50" t="s">
        <v>4</v>
      </c>
      <c r="D37" s="50">
        <v>12</v>
      </c>
      <c r="E37" s="50"/>
      <c r="F37" s="55">
        <v>177450</v>
      </c>
      <c r="G37" s="162"/>
    </row>
    <row r="38" spans="1:7" ht="15" hidden="1">
      <c r="A38" s="50">
        <v>12</v>
      </c>
      <c r="B38" s="89" t="s">
        <v>313</v>
      </c>
      <c r="C38" s="50" t="s">
        <v>4</v>
      </c>
      <c r="D38" s="50">
        <v>6</v>
      </c>
      <c r="E38" s="50"/>
      <c r="F38" s="55">
        <v>45000</v>
      </c>
      <c r="G38" s="162"/>
    </row>
    <row r="39" spans="1:7" ht="15" hidden="1">
      <c r="A39" s="50">
        <v>13</v>
      </c>
      <c r="B39" s="89" t="s">
        <v>314</v>
      </c>
      <c r="C39" s="50" t="s">
        <v>4</v>
      </c>
      <c r="D39" s="50">
        <v>6</v>
      </c>
      <c r="E39" s="50"/>
      <c r="F39" s="55">
        <v>122850</v>
      </c>
      <c r="G39" s="162"/>
    </row>
    <row r="40" spans="1:7" ht="15" hidden="1">
      <c r="A40" s="50">
        <v>14</v>
      </c>
      <c r="B40" s="89" t="s">
        <v>315</v>
      </c>
      <c r="C40" s="50" t="s">
        <v>4</v>
      </c>
      <c r="D40" s="50">
        <v>6</v>
      </c>
      <c r="E40" s="50"/>
      <c r="F40" s="55">
        <v>1526070</v>
      </c>
      <c r="G40" s="162"/>
    </row>
    <row r="41" spans="1:7" ht="15" hidden="1">
      <c r="A41" s="50">
        <v>15</v>
      </c>
      <c r="B41" s="89" t="s">
        <v>316</v>
      </c>
      <c r="C41" s="50" t="s">
        <v>4</v>
      </c>
      <c r="D41" s="50">
        <v>6</v>
      </c>
      <c r="E41" s="50"/>
      <c r="F41" s="55">
        <v>273000</v>
      </c>
      <c r="G41" s="162"/>
    </row>
    <row r="42" spans="1:7" ht="15" hidden="1">
      <c r="A42" s="50">
        <v>16</v>
      </c>
      <c r="B42" s="89" t="s">
        <v>317</v>
      </c>
      <c r="C42" s="50" t="s">
        <v>4</v>
      </c>
      <c r="D42" s="50">
        <v>6</v>
      </c>
      <c r="E42" s="50"/>
      <c r="F42" s="55">
        <v>1526070</v>
      </c>
      <c r="G42" s="162"/>
    </row>
    <row r="43" spans="1:7" ht="15" hidden="1">
      <c r="A43" s="50">
        <v>17</v>
      </c>
      <c r="B43" s="51" t="s">
        <v>215</v>
      </c>
      <c r="C43" s="50" t="s">
        <v>4</v>
      </c>
      <c r="D43" s="50">
        <v>24</v>
      </c>
      <c r="E43" s="50"/>
      <c r="F43" s="55">
        <v>7800000</v>
      </c>
      <c r="G43" s="162"/>
    </row>
    <row r="44" spans="1:7" ht="15" hidden="1">
      <c r="A44" s="50">
        <v>18</v>
      </c>
      <c r="B44" s="51" t="s">
        <v>120</v>
      </c>
      <c r="C44" s="50" t="s">
        <v>4</v>
      </c>
      <c r="D44" s="50">
        <v>12</v>
      </c>
      <c r="E44" s="50"/>
      <c r="F44" s="55">
        <v>65000</v>
      </c>
      <c r="G44" s="162"/>
    </row>
    <row r="45" spans="1:7" ht="15" hidden="1">
      <c r="A45" s="50">
        <v>19</v>
      </c>
      <c r="B45" s="51" t="s">
        <v>121</v>
      </c>
      <c r="C45" s="50" t="s">
        <v>4</v>
      </c>
      <c r="D45" s="50">
        <v>24</v>
      </c>
      <c r="E45" s="50"/>
      <c r="F45" s="55">
        <v>685000</v>
      </c>
      <c r="G45" s="162"/>
    </row>
    <row r="46" spans="1:7" ht="15" hidden="1">
      <c r="A46" s="50">
        <v>20</v>
      </c>
      <c r="B46" s="51" t="s">
        <v>122</v>
      </c>
      <c r="C46" s="50" t="s">
        <v>4</v>
      </c>
      <c r="D46" s="50">
        <v>24</v>
      </c>
      <c r="E46" s="50"/>
      <c r="F46" s="55">
        <v>3500000</v>
      </c>
      <c r="G46" s="162"/>
    </row>
    <row r="47" spans="1:7" ht="15" hidden="1">
      <c r="A47" s="50">
        <v>21</v>
      </c>
      <c r="B47" s="51" t="s">
        <v>123</v>
      </c>
      <c r="C47" s="50" t="s">
        <v>4</v>
      </c>
      <c r="D47" s="50">
        <v>12</v>
      </c>
      <c r="E47" s="50"/>
      <c r="F47" s="55">
        <v>75000</v>
      </c>
      <c r="G47" s="162"/>
    </row>
    <row r="48" spans="1:7" ht="15" hidden="1">
      <c r="A48" s="50">
        <v>22</v>
      </c>
      <c r="B48" s="51" t="s">
        <v>124</v>
      </c>
      <c r="C48" s="50" t="s">
        <v>4</v>
      </c>
      <c r="D48" s="50">
        <v>12</v>
      </c>
      <c r="E48" s="50"/>
      <c r="F48" s="55">
        <v>230000</v>
      </c>
      <c r="G48" s="162"/>
    </row>
  </sheetData>
  <mergeCells count="15">
    <mergeCell ref="A24:A25"/>
    <mergeCell ref="B24:B25"/>
    <mergeCell ref="C24:C25"/>
    <mergeCell ref="F24:F25"/>
    <mergeCell ref="D4:E4"/>
    <mergeCell ref="F4:G4"/>
    <mergeCell ref="L6:L21"/>
    <mergeCell ref="L4:L5"/>
    <mergeCell ref="A1:L1"/>
    <mergeCell ref="A2:L2"/>
    <mergeCell ref="C4:C5"/>
    <mergeCell ref="B4:B5"/>
    <mergeCell ref="A4:A5"/>
    <mergeCell ref="H4:I4"/>
    <mergeCell ref="J4:K4"/>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A7" zoomScale="110" zoomScaleNormal="110" workbookViewId="0">
      <selection activeCell="J9" sqref="J9"/>
    </sheetView>
  </sheetViews>
  <sheetFormatPr defaultColWidth="7.5" defaultRowHeight="10.5"/>
  <cols>
    <col min="1" max="1" width="7.375" style="1" customWidth="1"/>
    <col min="2" max="2" width="23.75" style="1" customWidth="1"/>
    <col min="3" max="3" width="10.375" style="1" customWidth="1"/>
    <col min="4" max="5" width="12.625" style="1" customWidth="1"/>
    <col min="6" max="7" width="11" style="1" customWidth="1"/>
    <col min="8" max="9" width="15.375" style="1" customWidth="1"/>
    <col min="10" max="10" width="50.75" style="1" customWidth="1"/>
    <col min="11" max="252" width="7.5" style="1"/>
    <col min="253" max="253" width="4.5" style="1" bestFit="1" customWidth="1"/>
    <col min="254" max="254" width="9.5" style="1" customWidth="1"/>
    <col min="255" max="255" width="36.375" style="1" customWidth="1"/>
    <col min="256" max="256" width="8.75" style="1" customWidth="1"/>
    <col min="257" max="257" width="11.375" style="1" customWidth="1"/>
    <col min="258" max="258" width="14.5" style="1" customWidth="1"/>
    <col min="259" max="259" width="6.875" style="1" customWidth="1"/>
    <col min="260" max="260" width="6.375" style="1" customWidth="1"/>
    <col min="261" max="261" width="11.875" style="1" customWidth="1"/>
    <col min="262" max="263" width="25" style="1" customWidth="1"/>
    <col min="264" max="508" width="7.5" style="1"/>
    <col min="509" max="509" width="4.5" style="1" bestFit="1" customWidth="1"/>
    <col min="510" max="510" width="9.5" style="1" customWidth="1"/>
    <col min="511" max="511" width="36.375" style="1" customWidth="1"/>
    <col min="512" max="512" width="8.75" style="1" customWidth="1"/>
    <col min="513" max="513" width="11.375" style="1" customWidth="1"/>
    <col min="514" max="514" width="14.5" style="1" customWidth="1"/>
    <col min="515" max="515" width="6.875" style="1" customWidth="1"/>
    <col min="516" max="516" width="6.375" style="1" customWidth="1"/>
    <col min="517" max="517" width="11.875" style="1" customWidth="1"/>
    <col min="518" max="519" width="25" style="1" customWidth="1"/>
    <col min="520" max="764" width="7.5" style="1"/>
    <col min="765" max="765" width="4.5" style="1" bestFit="1" customWidth="1"/>
    <col min="766" max="766" width="9.5" style="1" customWidth="1"/>
    <col min="767" max="767" width="36.375" style="1" customWidth="1"/>
    <col min="768" max="768" width="8.75" style="1" customWidth="1"/>
    <col min="769" max="769" width="11.375" style="1" customWidth="1"/>
    <col min="770" max="770" width="14.5" style="1" customWidth="1"/>
    <col min="771" max="771" width="6.875" style="1" customWidth="1"/>
    <col min="772" max="772" width="6.375" style="1" customWidth="1"/>
    <col min="773" max="773" width="11.875" style="1" customWidth="1"/>
    <col min="774" max="775" width="25" style="1" customWidth="1"/>
    <col min="776" max="1020" width="7.5" style="1"/>
    <col min="1021" max="1021" width="4.5" style="1" bestFit="1" customWidth="1"/>
    <col min="1022" max="1022" width="9.5" style="1" customWidth="1"/>
    <col min="1023" max="1023" width="36.375" style="1" customWidth="1"/>
    <col min="1024" max="1024" width="8.75" style="1" customWidth="1"/>
    <col min="1025" max="1025" width="11.375" style="1" customWidth="1"/>
    <col min="1026" max="1026" width="14.5" style="1" customWidth="1"/>
    <col min="1027" max="1027" width="6.875" style="1" customWidth="1"/>
    <col min="1028" max="1028" width="6.375" style="1" customWidth="1"/>
    <col min="1029" max="1029" width="11.875" style="1" customWidth="1"/>
    <col min="1030" max="1031" width="25" style="1" customWidth="1"/>
    <col min="1032" max="1276" width="7.5" style="1"/>
    <col min="1277" max="1277" width="4.5" style="1" bestFit="1" customWidth="1"/>
    <col min="1278" max="1278" width="9.5" style="1" customWidth="1"/>
    <col min="1279" max="1279" width="36.375" style="1" customWidth="1"/>
    <col min="1280" max="1280" width="8.75" style="1" customWidth="1"/>
    <col min="1281" max="1281" width="11.375" style="1" customWidth="1"/>
    <col min="1282" max="1282" width="14.5" style="1" customWidth="1"/>
    <col min="1283" max="1283" width="6.875" style="1" customWidth="1"/>
    <col min="1284" max="1284" width="6.375" style="1" customWidth="1"/>
    <col min="1285" max="1285" width="11.875" style="1" customWidth="1"/>
    <col min="1286" max="1287" width="25" style="1" customWidth="1"/>
    <col min="1288" max="1532" width="7.5" style="1"/>
    <col min="1533" max="1533" width="4.5" style="1" bestFit="1" customWidth="1"/>
    <col min="1534" max="1534" width="9.5" style="1" customWidth="1"/>
    <col min="1535" max="1535" width="36.375" style="1" customWidth="1"/>
    <col min="1536" max="1536" width="8.75" style="1" customWidth="1"/>
    <col min="1537" max="1537" width="11.375" style="1" customWidth="1"/>
    <col min="1538" max="1538" width="14.5" style="1" customWidth="1"/>
    <col min="1539" max="1539" width="6.875" style="1" customWidth="1"/>
    <col min="1540" max="1540" width="6.375" style="1" customWidth="1"/>
    <col min="1541" max="1541" width="11.875" style="1" customWidth="1"/>
    <col min="1542" max="1543" width="25" style="1" customWidth="1"/>
    <col min="1544" max="1788" width="7.5" style="1"/>
    <col min="1789" max="1789" width="4.5" style="1" bestFit="1" customWidth="1"/>
    <col min="1790" max="1790" width="9.5" style="1" customWidth="1"/>
    <col min="1791" max="1791" width="36.375" style="1" customWidth="1"/>
    <col min="1792" max="1792" width="8.75" style="1" customWidth="1"/>
    <col min="1793" max="1793" width="11.375" style="1" customWidth="1"/>
    <col min="1794" max="1794" width="14.5" style="1" customWidth="1"/>
    <col min="1795" max="1795" width="6.875" style="1" customWidth="1"/>
    <col min="1796" max="1796" width="6.375" style="1" customWidth="1"/>
    <col min="1797" max="1797" width="11.875" style="1" customWidth="1"/>
    <col min="1798" max="1799" width="25" style="1" customWidth="1"/>
    <col min="1800" max="2044" width="7.5" style="1"/>
    <col min="2045" max="2045" width="4.5" style="1" bestFit="1" customWidth="1"/>
    <col min="2046" max="2046" width="9.5" style="1" customWidth="1"/>
    <col min="2047" max="2047" width="36.375" style="1" customWidth="1"/>
    <col min="2048" max="2048" width="8.75" style="1" customWidth="1"/>
    <col min="2049" max="2049" width="11.375" style="1" customWidth="1"/>
    <col min="2050" max="2050" width="14.5" style="1" customWidth="1"/>
    <col min="2051" max="2051" width="6.875" style="1" customWidth="1"/>
    <col min="2052" max="2052" width="6.375" style="1" customWidth="1"/>
    <col min="2053" max="2053" width="11.875" style="1" customWidth="1"/>
    <col min="2054" max="2055" width="25" style="1" customWidth="1"/>
    <col min="2056" max="2300" width="7.5" style="1"/>
    <col min="2301" max="2301" width="4.5" style="1" bestFit="1" customWidth="1"/>
    <col min="2302" max="2302" width="9.5" style="1" customWidth="1"/>
    <col min="2303" max="2303" width="36.375" style="1" customWidth="1"/>
    <col min="2304" max="2304" width="8.75" style="1" customWidth="1"/>
    <col min="2305" max="2305" width="11.375" style="1" customWidth="1"/>
    <col min="2306" max="2306" width="14.5" style="1" customWidth="1"/>
    <col min="2307" max="2307" width="6.875" style="1" customWidth="1"/>
    <col min="2308" max="2308" width="6.375" style="1" customWidth="1"/>
    <col min="2309" max="2309" width="11.875" style="1" customWidth="1"/>
    <col min="2310" max="2311" width="25" style="1" customWidth="1"/>
    <col min="2312" max="2556" width="7.5" style="1"/>
    <col min="2557" max="2557" width="4.5" style="1" bestFit="1" customWidth="1"/>
    <col min="2558" max="2558" width="9.5" style="1" customWidth="1"/>
    <col min="2559" max="2559" width="36.375" style="1" customWidth="1"/>
    <col min="2560" max="2560" width="8.75" style="1" customWidth="1"/>
    <col min="2561" max="2561" width="11.375" style="1" customWidth="1"/>
    <col min="2562" max="2562" width="14.5" style="1" customWidth="1"/>
    <col min="2563" max="2563" width="6.875" style="1" customWidth="1"/>
    <col min="2564" max="2564" width="6.375" style="1" customWidth="1"/>
    <col min="2565" max="2565" width="11.875" style="1" customWidth="1"/>
    <col min="2566" max="2567" width="25" style="1" customWidth="1"/>
    <col min="2568" max="2812" width="7.5" style="1"/>
    <col min="2813" max="2813" width="4.5" style="1" bestFit="1" customWidth="1"/>
    <col min="2814" max="2814" width="9.5" style="1" customWidth="1"/>
    <col min="2815" max="2815" width="36.375" style="1" customWidth="1"/>
    <col min="2816" max="2816" width="8.75" style="1" customWidth="1"/>
    <col min="2817" max="2817" width="11.375" style="1" customWidth="1"/>
    <col min="2818" max="2818" width="14.5" style="1" customWidth="1"/>
    <col min="2819" max="2819" width="6.875" style="1" customWidth="1"/>
    <col min="2820" max="2820" width="6.375" style="1" customWidth="1"/>
    <col min="2821" max="2821" width="11.875" style="1" customWidth="1"/>
    <col min="2822" max="2823" width="25" style="1" customWidth="1"/>
    <col min="2824" max="3068" width="7.5" style="1"/>
    <col min="3069" max="3069" width="4.5" style="1" bestFit="1" customWidth="1"/>
    <col min="3070" max="3070" width="9.5" style="1" customWidth="1"/>
    <col min="3071" max="3071" width="36.375" style="1" customWidth="1"/>
    <col min="3072" max="3072" width="8.75" style="1" customWidth="1"/>
    <col min="3073" max="3073" width="11.375" style="1" customWidth="1"/>
    <col min="3074" max="3074" width="14.5" style="1" customWidth="1"/>
    <col min="3075" max="3075" width="6.875" style="1" customWidth="1"/>
    <col min="3076" max="3076" width="6.375" style="1" customWidth="1"/>
    <col min="3077" max="3077" width="11.875" style="1" customWidth="1"/>
    <col min="3078" max="3079" width="25" style="1" customWidth="1"/>
    <col min="3080" max="3324" width="7.5" style="1"/>
    <col min="3325" max="3325" width="4.5" style="1" bestFit="1" customWidth="1"/>
    <col min="3326" max="3326" width="9.5" style="1" customWidth="1"/>
    <col min="3327" max="3327" width="36.375" style="1" customWidth="1"/>
    <col min="3328" max="3328" width="8.75" style="1" customWidth="1"/>
    <col min="3329" max="3329" width="11.375" style="1" customWidth="1"/>
    <col min="3330" max="3330" width="14.5" style="1" customWidth="1"/>
    <col min="3331" max="3331" width="6.875" style="1" customWidth="1"/>
    <col min="3332" max="3332" width="6.375" style="1" customWidth="1"/>
    <col min="3333" max="3333" width="11.875" style="1" customWidth="1"/>
    <col min="3334" max="3335" width="25" style="1" customWidth="1"/>
    <col min="3336" max="3580" width="7.5" style="1"/>
    <col min="3581" max="3581" width="4.5" style="1" bestFit="1" customWidth="1"/>
    <col min="3582" max="3582" width="9.5" style="1" customWidth="1"/>
    <col min="3583" max="3583" width="36.375" style="1" customWidth="1"/>
    <col min="3584" max="3584" width="8.75" style="1" customWidth="1"/>
    <col min="3585" max="3585" width="11.375" style="1" customWidth="1"/>
    <col min="3586" max="3586" width="14.5" style="1" customWidth="1"/>
    <col min="3587" max="3587" width="6.875" style="1" customWidth="1"/>
    <col min="3588" max="3588" width="6.375" style="1" customWidth="1"/>
    <col min="3589" max="3589" width="11.875" style="1" customWidth="1"/>
    <col min="3590" max="3591" width="25" style="1" customWidth="1"/>
    <col min="3592" max="3836" width="7.5" style="1"/>
    <col min="3837" max="3837" width="4.5" style="1" bestFit="1" customWidth="1"/>
    <col min="3838" max="3838" width="9.5" style="1" customWidth="1"/>
    <col min="3839" max="3839" width="36.375" style="1" customWidth="1"/>
    <col min="3840" max="3840" width="8.75" style="1" customWidth="1"/>
    <col min="3841" max="3841" width="11.375" style="1" customWidth="1"/>
    <col min="3842" max="3842" width="14.5" style="1" customWidth="1"/>
    <col min="3843" max="3843" width="6.875" style="1" customWidth="1"/>
    <col min="3844" max="3844" width="6.375" style="1" customWidth="1"/>
    <col min="3845" max="3845" width="11.875" style="1" customWidth="1"/>
    <col min="3846" max="3847" width="25" style="1" customWidth="1"/>
    <col min="3848" max="4092" width="7.5" style="1"/>
    <col min="4093" max="4093" width="4.5" style="1" bestFit="1" customWidth="1"/>
    <col min="4094" max="4094" width="9.5" style="1" customWidth="1"/>
    <col min="4095" max="4095" width="36.375" style="1" customWidth="1"/>
    <col min="4096" max="4096" width="8.75" style="1" customWidth="1"/>
    <col min="4097" max="4097" width="11.375" style="1" customWidth="1"/>
    <col min="4098" max="4098" width="14.5" style="1" customWidth="1"/>
    <col min="4099" max="4099" width="6.875" style="1" customWidth="1"/>
    <col min="4100" max="4100" width="6.375" style="1" customWidth="1"/>
    <col min="4101" max="4101" width="11.875" style="1" customWidth="1"/>
    <col min="4102" max="4103" width="25" style="1" customWidth="1"/>
    <col min="4104" max="4348" width="7.5" style="1"/>
    <col min="4349" max="4349" width="4.5" style="1" bestFit="1" customWidth="1"/>
    <col min="4350" max="4350" width="9.5" style="1" customWidth="1"/>
    <col min="4351" max="4351" width="36.375" style="1" customWidth="1"/>
    <col min="4352" max="4352" width="8.75" style="1" customWidth="1"/>
    <col min="4353" max="4353" width="11.375" style="1" customWidth="1"/>
    <col min="4354" max="4354" width="14.5" style="1" customWidth="1"/>
    <col min="4355" max="4355" width="6.875" style="1" customWidth="1"/>
    <col min="4356" max="4356" width="6.375" style="1" customWidth="1"/>
    <col min="4357" max="4357" width="11.875" style="1" customWidth="1"/>
    <col min="4358" max="4359" width="25" style="1" customWidth="1"/>
    <col min="4360" max="4604" width="7.5" style="1"/>
    <col min="4605" max="4605" width="4.5" style="1" bestFit="1" customWidth="1"/>
    <col min="4606" max="4606" width="9.5" style="1" customWidth="1"/>
    <col min="4607" max="4607" width="36.375" style="1" customWidth="1"/>
    <col min="4608" max="4608" width="8.75" style="1" customWidth="1"/>
    <col min="4609" max="4609" width="11.375" style="1" customWidth="1"/>
    <col min="4610" max="4610" width="14.5" style="1" customWidth="1"/>
    <col min="4611" max="4611" width="6.875" style="1" customWidth="1"/>
    <col min="4612" max="4612" width="6.375" style="1" customWidth="1"/>
    <col min="4613" max="4613" width="11.875" style="1" customWidth="1"/>
    <col min="4614" max="4615" width="25" style="1" customWidth="1"/>
    <col min="4616" max="4860" width="7.5" style="1"/>
    <col min="4861" max="4861" width="4.5" style="1" bestFit="1" customWidth="1"/>
    <col min="4862" max="4862" width="9.5" style="1" customWidth="1"/>
    <col min="4863" max="4863" width="36.375" style="1" customWidth="1"/>
    <col min="4864" max="4864" width="8.75" style="1" customWidth="1"/>
    <col min="4865" max="4865" width="11.375" style="1" customWidth="1"/>
    <col min="4866" max="4866" width="14.5" style="1" customWidth="1"/>
    <col min="4867" max="4867" width="6.875" style="1" customWidth="1"/>
    <col min="4868" max="4868" width="6.375" style="1" customWidth="1"/>
    <col min="4869" max="4869" width="11.875" style="1" customWidth="1"/>
    <col min="4870" max="4871" width="25" style="1" customWidth="1"/>
    <col min="4872" max="5116" width="7.5" style="1"/>
    <col min="5117" max="5117" width="4.5" style="1" bestFit="1" customWidth="1"/>
    <col min="5118" max="5118" width="9.5" style="1" customWidth="1"/>
    <col min="5119" max="5119" width="36.375" style="1" customWidth="1"/>
    <col min="5120" max="5120" width="8.75" style="1" customWidth="1"/>
    <col min="5121" max="5121" width="11.375" style="1" customWidth="1"/>
    <col min="5122" max="5122" width="14.5" style="1" customWidth="1"/>
    <col min="5123" max="5123" width="6.875" style="1" customWidth="1"/>
    <col min="5124" max="5124" width="6.375" style="1" customWidth="1"/>
    <col min="5125" max="5125" width="11.875" style="1" customWidth="1"/>
    <col min="5126" max="5127" width="25" style="1" customWidth="1"/>
    <col min="5128" max="5372" width="7.5" style="1"/>
    <col min="5373" max="5373" width="4.5" style="1" bestFit="1" customWidth="1"/>
    <col min="5374" max="5374" width="9.5" style="1" customWidth="1"/>
    <col min="5375" max="5375" width="36.375" style="1" customWidth="1"/>
    <col min="5376" max="5376" width="8.75" style="1" customWidth="1"/>
    <col min="5377" max="5377" width="11.375" style="1" customWidth="1"/>
    <col min="5378" max="5378" width="14.5" style="1" customWidth="1"/>
    <col min="5379" max="5379" width="6.875" style="1" customWidth="1"/>
    <col min="5380" max="5380" width="6.375" style="1" customWidth="1"/>
    <col min="5381" max="5381" width="11.875" style="1" customWidth="1"/>
    <col min="5382" max="5383" width="25" style="1" customWidth="1"/>
    <col min="5384" max="5628" width="7.5" style="1"/>
    <col min="5629" max="5629" width="4.5" style="1" bestFit="1" customWidth="1"/>
    <col min="5630" max="5630" width="9.5" style="1" customWidth="1"/>
    <col min="5631" max="5631" width="36.375" style="1" customWidth="1"/>
    <col min="5632" max="5632" width="8.75" style="1" customWidth="1"/>
    <col min="5633" max="5633" width="11.375" style="1" customWidth="1"/>
    <col min="5634" max="5634" width="14.5" style="1" customWidth="1"/>
    <col min="5635" max="5635" width="6.875" style="1" customWidth="1"/>
    <col min="5636" max="5636" width="6.375" style="1" customWidth="1"/>
    <col min="5637" max="5637" width="11.875" style="1" customWidth="1"/>
    <col min="5638" max="5639" width="25" style="1" customWidth="1"/>
    <col min="5640" max="5884" width="7.5" style="1"/>
    <col min="5885" max="5885" width="4.5" style="1" bestFit="1" customWidth="1"/>
    <col min="5886" max="5886" width="9.5" style="1" customWidth="1"/>
    <col min="5887" max="5887" width="36.375" style="1" customWidth="1"/>
    <col min="5888" max="5888" width="8.75" style="1" customWidth="1"/>
    <col min="5889" max="5889" width="11.375" style="1" customWidth="1"/>
    <col min="5890" max="5890" width="14.5" style="1" customWidth="1"/>
    <col min="5891" max="5891" width="6.875" style="1" customWidth="1"/>
    <col min="5892" max="5892" width="6.375" style="1" customWidth="1"/>
    <col min="5893" max="5893" width="11.875" style="1" customWidth="1"/>
    <col min="5894" max="5895" width="25" style="1" customWidth="1"/>
    <col min="5896" max="6140" width="7.5" style="1"/>
    <col min="6141" max="6141" width="4.5" style="1" bestFit="1" customWidth="1"/>
    <col min="6142" max="6142" width="9.5" style="1" customWidth="1"/>
    <col min="6143" max="6143" width="36.375" style="1" customWidth="1"/>
    <col min="6144" max="6144" width="8.75" style="1" customWidth="1"/>
    <col min="6145" max="6145" width="11.375" style="1" customWidth="1"/>
    <col min="6146" max="6146" width="14.5" style="1" customWidth="1"/>
    <col min="6147" max="6147" width="6.875" style="1" customWidth="1"/>
    <col min="6148" max="6148" width="6.375" style="1" customWidth="1"/>
    <col min="6149" max="6149" width="11.875" style="1" customWidth="1"/>
    <col min="6150" max="6151" width="25" style="1" customWidth="1"/>
    <col min="6152" max="6396" width="7.5" style="1"/>
    <col min="6397" max="6397" width="4.5" style="1" bestFit="1" customWidth="1"/>
    <col min="6398" max="6398" width="9.5" style="1" customWidth="1"/>
    <col min="6399" max="6399" width="36.375" style="1" customWidth="1"/>
    <col min="6400" max="6400" width="8.75" style="1" customWidth="1"/>
    <col min="6401" max="6401" width="11.375" style="1" customWidth="1"/>
    <col min="6402" max="6402" width="14.5" style="1" customWidth="1"/>
    <col min="6403" max="6403" width="6.875" style="1" customWidth="1"/>
    <col min="6404" max="6404" width="6.375" style="1" customWidth="1"/>
    <col min="6405" max="6405" width="11.875" style="1" customWidth="1"/>
    <col min="6406" max="6407" width="25" style="1" customWidth="1"/>
    <col min="6408" max="6652" width="7.5" style="1"/>
    <col min="6653" max="6653" width="4.5" style="1" bestFit="1" customWidth="1"/>
    <col min="6654" max="6654" width="9.5" style="1" customWidth="1"/>
    <col min="6655" max="6655" width="36.375" style="1" customWidth="1"/>
    <col min="6656" max="6656" width="8.75" style="1" customWidth="1"/>
    <col min="6657" max="6657" width="11.375" style="1" customWidth="1"/>
    <col min="6658" max="6658" width="14.5" style="1" customWidth="1"/>
    <col min="6659" max="6659" width="6.875" style="1" customWidth="1"/>
    <col min="6660" max="6660" width="6.375" style="1" customWidth="1"/>
    <col min="6661" max="6661" width="11.875" style="1" customWidth="1"/>
    <col min="6662" max="6663" width="25" style="1" customWidth="1"/>
    <col min="6664" max="6908" width="7.5" style="1"/>
    <col min="6909" max="6909" width="4.5" style="1" bestFit="1" customWidth="1"/>
    <col min="6910" max="6910" width="9.5" style="1" customWidth="1"/>
    <col min="6911" max="6911" width="36.375" style="1" customWidth="1"/>
    <col min="6912" max="6912" width="8.75" style="1" customWidth="1"/>
    <col min="6913" max="6913" width="11.375" style="1" customWidth="1"/>
    <col min="6914" max="6914" width="14.5" style="1" customWidth="1"/>
    <col min="6915" max="6915" width="6.875" style="1" customWidth="1"/>
    <col min="6916" max="6916" width="6.375" style="1" customWidth="1"/>
    <col min="6917" max="6917" width="11.875" style="1" customWidth="1"/>
    <col min="6918" max="6919" width="25" style="1" customWidth="1"/>
    <col min="6920" max="7164" width="7.5" style="1"/>
    <col min="7165" max="7165" width="4.5" style="1" bestFit="1" customWidth="1"/>
    <col min="7166" max="7166" width="9.5" style="1" customWidth="1"/>
    <col min="7167" max="7167" width="36.375" style="1" customWidth="1"/>
    <col min="7168" max="7168" width="8.75" style="1" customWidth="1"/>
    <col min="7169" max="7169" width="11.375" style="1" customWidth="1"/>
    <col min="7170" max="7170" width="14.5" style="1" customWidth="1"/>
    <col min="7171" max="7171" width="6.875" style="1" customWidth="1"/>
    <col min="7172" max="7172" width="6.375" style="1" customWidth="1"/>
    <col min="7173" max="7173" width="11.875" style="1" customWidth="1"/>
    <col min="7174" max="7175" width="25" style="1" customWidth="1"/>
    <col min="7176" max="7420" width="7.5" style="1"/>
    <col min="7421" max="7421" width="4.5" style="1" bestFit="1" customWidth="1"/>
    <col min="7422" max="7422" width="9.5" style="1" customWidth="1"/>
    <col min="7423" max="7423" width="36.375" style="1" customWidth="1"/>
    <col min="7424" max="7424" width="8.75" style="1" customWidth="1"/>
    <col min="7425" max="7425" width="11.375" style="1" customWidth="1"/>
    <col min="7426" max="7426" width="14.5" style="1" customWidth="1"/>
    <col min="7427" max="7427" width="6.875" style="1" customWidth="1"/>
    <col min="7428" max="7428" width="6.375" style="1" customWidth="1"/>
    <col min="7429" max="7429" width="11.875" style="1" customWidth="1"/>
    <col min="7430" max="7431" width="25" style="1" customWidth="1"/>
    <col min="7432" max="7676" width="7.5" style="1"/>
    <col min="7677" max="7677" width="4.5" style="1" bestFit="1" customWidth="1"/>
    <col min="7678" max="7678" width="9.5" style="1" customWidth="1"/>
    <col min="7679" max="7679" width="36.375" style="1" customWidth="1"/>
    <col min="7680" max="7680" width="8.75" style="1" customWidth="1"/>
    <col min="7681" max="7681" width="11.375" style="1" customWidth="1"/>
    <col min="7682" max="7682" width="14.5" style="1" customWidth="1"/>
    <col min="7683" max="7683" width="6.875" style="1" customWidth="1"/>
    <col min="7684" max="7684" width="6.375" style="1" customWidth="1"/>
    <col min="7685" max="7685" width="11.875" style="1" customWidth="1"/>
    <col min="7686" max="7687" width="25" style="1" customWidth="1"/>
    <col min="7688" max="7932" width="7.5" style="1"/>
    <col min="7933" max="7933" width="4.5" style="1" bestFit="1" customWidth="1"/>
    <col min="7934" max="7934" width="9.5" style="1" customWidth="1"/>
    <col min="7935" max="7935" width="36.375" style="1" customWidth="1"/>
    <col min="7936" max="7936" width="8.75" style="1" customWidth="1"/>
    <col min="7937" max="7937" width="11.375" style="1" customWidth="1"/>
    <col min="7938" max="7938" width="14.5" style="1" customWidth="1"/>
    <col min="7939" max="7939" width="6.875" style="1" customWidth="1"/>
    <col min="7940" max="7940" width="6.375" style="1" customWidth="1"/>
    <col min="7941" max="7941" width="11.875" style="1" customWidth="1"/>
    <col min="7942" max="7943" width="25" style="1" customWidth="1"/>
    <col min="7944" max="8188" width="7.5" style="1"/>
    <col min="8189" max="8189" width="4.5" style="1" bestFit="1" customWidth="1"/>
    <col min="8190" max="8190" width="9.5" style="1" customWidth="1"/>
    <col min="8191" max="8191" width="36.375" style="1" customWidth="1"/>
    <col min="8192" max="8192" width="8.75" style="1" customWidth="1"/>
    <col min="8193" max="8193" width="11.375" style="1" customWidth="1"/>
    <col min="8194" max="8194" width="14.5" style="1" customWidth="1"/>
    <col min="8195" max="8195" width="6.875" style="1" customWidth="1"/>
    <col min="8196" max="8196" width="6.375" style="1" customWidth="1"/>
    <col min="8197" max="8197" width="11.875" style="1" customWidth="1"/>
    <col min="8198" max="8199" width="25" style="1" customWidth="1"/>
    <col min="8200" max="8444" width="7.5" style="1"/>
    <col min="8445" max="8445" width="4.5" style="1" bestFit="1" customWidth="1"/>
    <col min="8446" max="8446" width="9.5" style="1" customWidth="1"/>
    <col min="8447" max="8447" width="36.375" style="1" customWidth="1"/>
    <col min="8448" max="8448" width="8.75" style="1" customWidth="1"/>
    <col min="8449" max="8449" width="11.375" style="1" customWidth="1"/>
    <col min="8450" max="8450" width="14.5" style="1" customWidth="1"/>
    <col min="8451" max="8451" width="6.875" style="1" customWidth="1"/>
    <col min="8452" max="8452" width="6.375" style="1" customWidth="1"/>
    <col min="8453" max="8453" width="11.875" style="1" customWidth="1"/>
    <col min="8454" max="8455" width="25" style="1" customWidth="1"/>
    <col min="8456" max="8700" width="7.5" style="1"/>
    <col min="8701" max="8701" width="4.5" style="1" bestFit="1" customWidth="1"/>
    <col min="8702" max="8702" width="9.5" style="1" customWidth="1"/>
    <col min="8703" max="8703" width="36.375" style="1" customWidth="1"/>
    <col min="8704" max="8704" width="8.75" style="1" customWidth="1"/>
    <col min="8705" max="8705" width="11.375" style="1" customWidth="1"/>
    <col min="8706" max="8706" width="14.5" style="1" customWidth="1"/>
    <col min="8707" max="8707" width="6.875" style="1" customWidth="1"/>
    <col min="8708" max="8708" width="6.375" style="1" customWidth="1"/>
    <col min="8709" max="8709" width="11.875" style="1" customWidth="1"/>
    <col min="8710" max="8711" width="25" style="1" customWidth="1"/>
    <col min="8712" max="8956" width="7.5" style="1"/>
    <col min="8957" max="8957" width="4.5" style="1" bestFit="1" customWidth="1"/>
    <col min="8958" max="8958" width="9.5" style="1" customWidth="1"/>
    <col min="8959" max="8959" width="36.375" style="1" customWidth="1"/>
    <col min="8960" max="8960" width="8.75" style="1" customWidth="1"/>
    <col min="8961" max="8961" width="11.375" style="1" customWidth="1"/>
    <col min="8962" max="8962" width="14.5" style="1" customWidth="1"/>
    <col min="8963" max="8963" width="6.875" style="1" customWidth="1"/>
    <col min="8964" max="8964" width="6.375" style="1" customWidth="1"/>
    <col min="8965" max="8965" width="11.875" style="1" customWidth="1"/>
    <col min="8966" max="8967" width="25" style="1" customWidth="1"/>
    <col min="8968" max="9212" width="7.5" style="1"/>
    <col min="9213" max="9213" width="4.5" style="1" bestFit="1" customWidth="1"/>
    <col min="9214" max="9214" width="9.5" style="1" customWidth="1"/>
    <col min="9215" max="9215" width="36.375" style="1" customWidth="1"/>
    <col min="9216" max="9216" width="8.75" style="1" customWidth="1"/>
    <col min="9217" max="9217" width="11.375" style="1" customWidth="1"/>
    <col min="9218" max="9218" width="14.5" style="1" customWidth="1"/>
    <col min="9219" max="9219" width="6.875" style="1" customWidth="1"/>
    <col min="9220" max="9220" width="6.375" style="1" customWidth="1"/>
    <col min="9221" max="9221" width="11.875" style="1" customWidth="1"/>
    <col min="9222" max="9223" width="25" style="1" customWidth="1"/>
    <col min="9224" max="9468" width="7.5" style="1"/>
    <col min="9469" max="9469" width="4.5" style="1" bestFit="1" customWidth="1"/>
    <col min="9470" max="9470" width="9.5" style="1" customWidth="1"/>
    <col min="9471" max="9471" width="36.375" style="1" customWidth="1"/>
    <col min="9472" max="9472" width="8.75" style="1" customWidth="1"/>
    <col min="9473" max="9473" width="11.375" style="1" customWidth="1"/>
    <col min="9474" max="9474" width="14.5" style="1" customWidth="1"/>
    <col min="9475" max="9475" width="6.875" style="1" customWidth="1"/>
    <col min="9476" max="9476" width="6.375" style="1" customWidth="1"/>
    <col min="9477" max="9477" width="11.875" style="1" customWidth="1"/>
    <col min="9478" max="9479" width="25" style="1" customWidth="1"/>
    <col min="9480" max="9724" width="7.5" style="1"/>
    <col min="9725" max="9725" width="4.5" style="1" bestFit="1" customWidth="1"/>
    <col min="9726" max="9726" width="9.5" style="1" customWidth="1"/>
    <col min="9727" max="9727" width="36.375" style="1" customWidth="1"/>
    <col min="9728" max="9728" width="8.75" style="1" customWidth="1"/>
    <col min="9729" max="9729" width="11.375" style="1" customWidth="1"/>
    <col min="9730" max="9730" width="14.5" style="1" customWidth="1"/>
    <col min="9731" max="9731" width="6.875" style="1" customWidth="1"/>
    <col min="9732" max="9732" width="6.375" style="1" customWidth="1"/>
    <col min="9733" max="9733" width="11.875" style="1" customWidth="1"/>
    <col min="9734" max="9735" width="25" style="1" customWidth="1"/>
    <col min="9736" max="9980" width="7.5" style="1"/>
    <col min="9981" max="9981" width="4.5" style="1" bestFit="1" customWidth="1"/>
    <col min="9982" max="9982" width="9.5" style="1" customWidth="1"/>
    <col min="9983" max="9983" width="36.375" style="1" customWidth="1"/>
    <col min="9984" max="9984" width="8.75" style="1" customWidth="1"/>
    <col min="9985" max="9985" width="11.375" style="1" customWidth="1"/>
    <col min="9986" max="9986" width="14.5" style="1" customWidth="1"/>
    <col min="9987" max="9987" width="6.875" style="1" customWidth="1"/>
    <col min="9988" max="9988" width="6.375" style="1" customWidth="1"/>
    <col min="9989" max="9989" width="11.875" style="1" customWidth="1"/>
    <col min="9990" max="9991" width="25" style="1" customWidth="1"/>
    <col min="9992" max="10236" width="7.5" style="1"/>
    <col min="10237" max="10237" width="4.5" style="1" bestFit="1" customWidth="1"/>
    <col min="10238" max="10238" width="9.5" style="1" customWidth="1"/>
    <col min="10239" max="10239" width="36.375" style="1" customWidth="1"/>
    <col min="10240" max="10240" width="8.75" style="1" customWidth="1"/>
    <col min="10241" max="10241" width="11.375" style="1" customWidth="1"/>
    <col min="10242" max="10242" width="14.5" style="1" customWidth="1"/>
    <col min="10243" max="10243" width="6.875" style="1" customWidth="1"/>
    <col min="10244" max="10244" width="6.375" style="1" customWidth="1"/>
    <col min="10245" max="10245" width="11.875" style="1" customWidth="1"/>
    <col min="10246" max="10247" width="25" style="1" customWidth="1"/>
    <col min="10248" max="10492" width="7.5" style="1"/>
    <col min="10493" max="10493" width="4.5" style="1" bestFit="1" customWidth="1"/>
    <col min="10494" max="10494" width="9.5" style="1" customWidth="1"/>
    <col min="10495" max="10495" width="36.375" style="1" customWidth="1"/>
    <col min="10496" max="10496" width="8.75" style="1" customWidth="1"/>
    <col min="10497" max="10497" width="11.375" style="1" customWidth="1"/>
    <col min="10498" max="10498" width="14.5" style="1" customWidth="1"/>
    <col min="10499" max="10499" width="6.875" style="1" customWidth="1"/>
    <col min="10500" max="10500" width="6.375" style="1" customWidth="1"/>
    <col min="10501" max="10501" width="11.875" style="1" customWidth="1"/>
    <col min="10502" max="10503" width="25" style="1" customWidth="1"/>
    <col min="10504" max="10748" width="7.5" style="1"/>
    <col min="10749" max="10749" width="4.5" style="1" bestFit="1" customWidth="1"/>
    <col min="10750" max="10750" width="9.5" style="1" customWidth="1"/>
    <col min="10751" max="10751" width="36.375" style="1" customWidth="1"/>
    <col min="10752" max="10752" width="8.75" style="1" customWidth="1"/>
    <col min="10753" max="10753" width="11.375" style="1" customWidth="1"/>
    <col min="10754" max="10754" width="14.5" style="1" customWidth="1"/>
    <col min="10755" max="10755" width="6.875" style="1" customWidth="1"/>
    <col min="10756" max="10756" width="6.375" style="1" customWidth="1"/>
    <col min="10757" max="10757" width="11.875" style="1" customWidth="1"/>
    <col min="10758" max="10759" width="25" style="1" customWidth="1"/>
    <col min="10760" max="11004" width="7.5" style="1"/>
    <col min="11005" max="11005" width="4.5" style="1" bestFit="1" customWidth="1"/>
    <col min="11006" max="11006" width="9.5" style="1" customWidth="1"/>
    <col min="11007" max="11007" width="36.375" style="1" customWidth="1"/>
    <col min="11008" max="11008" width="8.75" style="1" customWidth="1"/>
    <col min="11009" max="11009" width="11.375" style="1" customWidth="1"/>
    <col min="11010" max="11010" width="14.5" style="1" customWidth="1"/>
    <col min="11011" max="11011" width="6.875" style="1" customWidth="1"/>
    <col min="11012" max="11012" width="6.375" style="1" customWidth="1"/>
    <col min="11013" max="11013" width="11.875" style="1" customWidth="1"/>
    <col min="11014" max="11015" width="25" style="1" customWidth="1"/>
    <col min="11016" max="11260" width="7.5" style="1"/>
    <col min="11261" max="11261" width="4.5" style="1" bestFit="1" customWidth="1"/>
    <col min="11262" max="11262" width="9.5" style="1" customWidth="1"/>
    <col min="11263" max="11263" width="36.375" style="1" customWidth="1"/>
    <col min="11264" max="11264" width="8.75" style="1" customWidth="1"/>
    <col min="11265" max="11265" width="11.375" style="1" customWidth="1"/>
    <col min="11266" max="11266" width="14.5" style="1" customWidth="1"/>
    <col min="11267" max="11267" width="6.875" style="1" customWidth="1"/>
    <col min="11268" max="11268" width="6.375" style="1" customWidth="1"/>
    <col min="11269" max="11269" width="11.875" style="1" customWidth="1"/>
    <col min="11270" max="11271" width="25" style="1" customWidth="1"/>
    <col min="11272" max="11516" width="7.5" style="1"/>
    <col min="11517" max="11517" width="4.5" style="1" bestFit="1" customWidth="1"/>
    <col min="11518" max="11518" width="9.5" style="1" customWidth="1"/>
    <col min="11519" max="11519" width="36.375" style="1" customWidth="1"/>
    <col min="11520" max="11520" width="8.75" style="1" customWidth="1"/>
    <col min="11521" max="11521" width="11.375" style="1" customWidth="1"/>
    <col min="11522" max="11522" width="14.5" style="1" customWidth="1"/>
    <col min="11523" max="11523" width="6.875" style="1" customWidth="1"/>
    <col min="11524" max="11524" width="6.375" style="1" customWidth="1"/>
    <col min="11525" max="11525" width="11.875" style="1" customWidth="1"/>
    <col min="11526" max="11527" width="25" style="1" customWidth="1"/>
    <col min="11528" max="11772" width="7.5" style="1"/>
    <col min="11773" max="11773" width="4.5" style="1" bestFit="1" customWidth="1"/>
    <col min="11774" max="11774" width="9.5" style="1" customWidth="1"/>
    <col min="11775" max="11775" width="36.375" style="1" customWidth="1"/>
    <col min="11776" max="11776" width="8.75" style="1" customWidth="1"/>
    <col min="11777" max="11777" width="11.375" style="1" customWidth="1"/>
    <col min="11778" max="11778" width="14.5" style="1" customWidth="1"/>
    <col min="11779" max="11779" width="6.875" style="1" customWidth="1"/>
    <col min="11780" max="11780" width="6.375" style="1" customWidth="1"/>
    <col min="11781" max="11781" width="11.875" style="1" customWidth="1"/>
    <col min="11782" max="11783" width="25" style="1" customWidth="1"/>
    <col min="11784" max="12028" width="7.5" style="1"/>
    <col min="12029" max="12029" width="4.5" style="1" bestFit="1" customWidth="1"/>
    <col min="12030" max="12030" width="9.5" style="1" customWidth="1"/>
    <col min="12031" max="12031" width="36.375" style="1" customWidth="1"/>
    <col min="12032" max="12032" width="8.75" style="1" customWidth="1"/>
    <col min="12033" max="12033" width="11.375" style="1" customWidth="1"/>
    <col min="12034" max="12034" width="14.5" style="1" customWidth="1"/>
    <col min="12035" max="12035" width="6.875" style="1" customWidth="1"/>
    <col min="12036" max="12036" width="6.375" style="1" customWidth="1"/>
    <col min="12037" max="12037" width="11.875" style="1" customWidth="1"/>
    <col min="12038" max="12039" width="25" style="1" customWidth="1"/>
    <col min="12040" max="12284" width="7.5" style="1"/>
    <col min="12285" max="12285" width="4.5" style="1" bestFit="1" customWidth="1"/>
    <col min="12286" max="12286" width="9.5" style="1" customWidth="1"/>
    <col min="12287" max="12287" width="36.375" style="1" customWidth="1"/>
    <col min="12288" max="12288" width="8.75" style="1" customWidth="1"/>
    <col min="12289" max="12289" width="11.375" style="1" customWidth="1"/>
    <col min="12290" max="12290" width="14.5" style="1" customWidth="1"/>
    <col min="12291" max="12291" width="6.875" style="1" customWidth="1"/>
    <col min="12292" max="12292" width="6.375" style="1" customWidth="1"/>
    <col min="12293" max="12293" width="11.875" style="1" customWidth="1"/>
    <col min="12294" max="12295" width="25" style="1" customWidth="1"/>
    <col min="12296" max="12540" width="7.5" style="1"/>
    <col min="12541" max="12541" width="4.5" style="1" bestFit="1" customWidth="1"/>
    <col min="12542" max="12542" width="9.5" style="1" customWidth="1"/>
    <col min="12543" max="12543" width="36.375" style="1" customWidth="1"/>
    <col min="12544" max="12544" width="8.75" style="1" customWidth="1"/>
    <col min="12545" max="12545" width="11.375" style="1" customWidth="1"/>
    <col min="12546" max="12546" width="14.5" style="1" customWidth="1"/>
    <col min="12547" max="12547" width="6.875" style="1" customWidth="1"/>
    <col min="12548" max="12548" width="6.375" style="1" customWidth="1"/>
    <col min="12549" max="12549" width="11.875" style="1" customWidth="1"/>
    <col min="12550" max="12551" width="25" style="1" customWidth="1"/>
    <col min="12552" max="12796" width="7.5" style="1"/>
    <col min="12797" max="12797" width="4.5" style="1" bestFit="1" customWidth="1"/>
    <col min="12798" max="12798" width="9.5" style="1" customWidth="1"/>
    <col min="12799" max="12799" width="36.375" style="1" customWidth="1"/>
    <col min="12800" max="12800" width="8.75" style="1" customWidth="1"/>
    <col min="12801" max="12801" width="11.375" style="1" customWidth="1"/>
    <col min="12802" max="12802" width="14.5" style="1" customWidth="1"/>
    <col min="12803" max="12803" width="6.875" style="1" customWidth="1"/>
    <col min="12804" max="12804" width="6.375" style="1" customWidth="1"/>
    <col min="12805" max="12805" width="11.875" style="1" customWidth="1"/>
    <col min="12806" max="12807" width="25" style="1" customWidth="1"/>
    <col min="12808" max="13052" width="7.5" style="1"/>
    <col min="13053" max="13053" width="4.5" style="1" bestFit="1" customWidth="1"/>
    <col min="13054" max="13054" width="9.5" style="1" customWidth="1"/>
    <col min="13055" max="13055" width="36.375" style="1" customWidth="1"/>
    <col min="13056" max="13056" width="8.75" style="1" customWidth="1"/>
    <col min="13057" max="13057" width="11.375" style="1" customWidth="1"/>
    <col min="13058" max="13058" width="14.5" style="1" customWidth="1"/>
    <col min="13059" max="13059" width="6.875" style="1" customWidth="1"/>
    <col min="13060" max="13060" width="6.375" style="1" customWidth="1"/>
    <col min="13061" max="13061" width="11.875" style="1" customWidth="1"/>
    <col min="13062" max="13063" width="25" style="1" customWidth="1"/>
    <col min="13064" max="13308" width="7.5" style="1"/>
    <col min="13309" max="13309" width="4.5" style="1" bestFit="1" customWidth="1"/>
    <col min="13310" max="13310" width="9.5" style="1" customWidth="1"/>
    <col min="13311" max="13311" width="36.375" style="1" customWidth="1"/>
    <col min="13312" max="13312" width="8.75" style="1" customWidth="1"/>
    <col min="13313" max="13313" width="11.375" style="1" customWidth="1"/>
    <col min="13314" max="13314" width="14.5" style="1" customWidth="1"/>
    <col min="13315" max="13315" width="6.875" style="1" customWidth="1"/>
    <col min="13316" max="13316" width="6.375" style="1" customWidth="1"/>
    <col min="13317" max="13317" width="11.875" style="1" customWidth="1"/>
    <col min="13318" max="13319" width="25" style="1" customWidth="1"/>
    <col min="13320" max="13564" width="7.5" style="1"/>
    <col min="13565" max="13565" width="4.5" style="1" bestFit="1" customWidth="1"/>
    <col min="13566" max="13566" width="9.5" style="1" customWidth="1"/>
    <col min="13567" max="13567" width="36.375" style="1" customWidth="1"/>
    <col min="13568" max="13568" width="8.75" style="1" customWidth="1"/>
    <col min="13569" max="13569" width="11.375" style="1" customWidth="1"/>
    <col min="13570" max="13570" width="14.5" style="1" customWidth="1"/>
    <col min="13571" max="13571" width="6.875" style="1" customWidth="1"/>
    <col min="13572" max="13572" width="6.375" style="1" customWidth="1"/>
    <col min="13573" max="13573" width="11.875" style="1" customWidth="1"/>
    <col min="13574" max="13575" width="25" style="1" customWidth="1"/>
    <col min="13576" max="13820" width="7.5" style="1"/>
    <col min="13821" max="13821" width="4.5" style="1" bestFit="1" customWidth="1"/>
    <col min="13822" max="13822" width="9.5" style="1" customWidth="1"/>
    <col min="13823" max="13823" width="36.375" style="1" customWidth="1"/>
    <col min="13824" max="13824" width="8.75" style="1" customWidth="1"/>
    <col min="13825" max="13825" width="11.375" style="1" customWidth="1"/>
    <col min="13826" max="13826" width="14.5" style="1" customWidth="1"/>
    <col min="13827" max="13827" width="6.875" style="1" customWidth="1"/>
    <col min="13828" max="13828" width="6.375" style="1" customWidth="1"/>
    <col min="13829" max="13829" width="11.875" style="1" customWidth="1"/>
    <col min="13830" max="13831" width="25" style="1" customWidth="1"/>
    <col min="13832" max="14076" width="7.5" style="1"/>
    <col min="14077" max="14077" width="4.5" style="1" bestFit="1" customWidth="1"/>
    <col min="14078" max="14078" width="9.5" style="1" customWidth="1"/>
    <col min="14079" max="14079" width="36.375" style="1" customWidth="1"/>
    <col min="14080" max="14080" width="8.75" style="1" customWidth="1"/>
    <col min="14081" max="14081" width="11.375" style="1" customWidth="1"/>
    <col min="14082" max="14082" width="14.5" style="1" customWidth="1"/>
    <col min="14083" max="14083" width="6.875" style="1" customWidth="1"/>
    <col min="14084" max="14084" width="6.375" style="1" customWidth="1"/>
    <col min="14085" max="14085" width="11.875" style="1" customWidth="1"/>
    <col min="14086" max="14087" width="25" style="1" customWidth="1"/>
    <col min="14088" max="14332" width="7.5" style="1"/>
    <col min="14333" max="14333" width="4.5" style="1" bestFit="1" customWidth="1"/>
    <col min="14334" max="14334" width="9.5" style="1" customWidth="1"/>
    <col min="14335" max="14335" width="36.375" style="1" customWidth="1"/>
    <col min="14336" max="14336" width="8.75" style="1" customWidth="1"/>
    <col min="14337" max="14337" width="11.375" style="1" customWidth="1"/>
    <col min="14338" max="14338" width="14.5" style="1" customWidth="1"/>
    <col min="14339" max="14339" width="6.875" style="1" customWidth="1"/>
    <col min="14340" max="14340" width="6.375" style="1" customWidth="1"/>
    <col min="14341" max="14341" width="11.875" style="1" customWidth="1"/>
    <col min="14342" max="14343" width="25" style="1" customWidth="1"/>
    <col min="14344" max="14588" width="7.5" style="1"/>
    <col min="14589" max="14589" width="4.5" style="1" bestFit="1" customWidth="1"/>
    <col min="14590" max="14590" width="9.5" style="1" customWidth="1"/>
    <col min="14591" max="14591" width="36.375" style="1" customWidth="1"/>
    <col min="14592" max="14592" width="8.75" style="1" customWidth="1"/>
    <col min="14593" max="14593" width="11.375" style="1" customWidth="1"/>
    <col min="14594" max="14594" width="14.5" style="1" customWidth="1"/>
    <col min="14595" max="14595" width="6.875" style="1" customWidth="1"/>
    <col min="14596" max="14596" width="6.375" style="1" customWidth="1"/>
    <col min="14597" max="14597" width="11.875" style="1" customWidth="1"/>
    <col min="14598" max="14599" width="25" style="1" customWidth="1"/>
    <col min="14600" max="14844" width="7.5" style="1"/>
    <col min="14845" max="14845" width="4.5" style="1" bestFit="1" customWidth="1"/>
    <col min="14846" max="14846" width="9.5" style="1" customWidth="1"/>
    <col min="14847" max="14847" width="36.375" style="1" customWidth="1"/>
    <col min="14848" max="14848" width="8.75" style="1" customWidth="1"/>
    <col min="14849" max="14849" width="11.375" style="1" customWidth="1"/>
    <col min="14850" max="14850" width="14.5" style="1" customWidth="1"/>
    <col min="14851" max="14851" width="6.875" style="1" customWidth="1"/>
    <col min="14852" max="14852" width="6.375" style="1" customWidth="1"/>
    <col min="14853" max="14853" width="11.875" style="1" customWidth="1"/>
    <col min="14854" max="14855" width="25" style="1" customWidth="1"/>
    <col min="14856" max="15100" width="7.5" style="1"/>
    <col min="15101" max="15101" width="4.5" style="1" bestFit="1" customWidth="1"/>
    <col min="15102" max="15102" width="9.5" style="1" customWidth="1"/>
    <col min="15103" max="15103" width="36.375" style="1" customWidth="1"/>
    <col min="15104" max="15104" width="8.75" style="1" customWidth="1"/>
    <col min="15105" max="15105" width="11.375" style="1" customWidth="1"/>
    <col min="15106" max="15106" width="14.5" style="1" customWidth="1"/>
    <col min="15107" max="15107" width="6.875" style="1" customWidth="1"/>
    <col min="15108" max="15108" width="6.375" style="1" customWidth="1"/>
    <col min="15109" max="15109" width="11.875" style="1" customWidth="1"/>
    <col min="15110" max="15111" width="25" style="1" customWidth="1"/>
    <col min="15112" max="15356" width="7.5" style="1"/>
    <col min="15357" max="15357" width="4.5" style="1" bestFit="1" customWidth="1"/>
    <col min="15358" max="15358" width="9.5" style="1" customWidth="1"/>
    <col min="15359" max="15359" width="36.375" style="1" customWidth="1"/>
    <col min="15360" max="15360" width="8.75" style="1" customWidth="1"/>
    <col min="15361" max="15361" width="11.375" style="1" customWidth="1"/>
    <col min="15362" max="15362" width="14.5" style="1" customWidth="1"/>
    <col min="15363" max="15363" width="6.875" style="1" customWidth="1"/>
    <col min="15364" max="15364" width="6.375" style="1" customWidth="1"/>
    <col min="15365" max="15365" width="11.875" style="1" customWidth="1"/>
    <col min="15366" max="15367" width="25" style="1" customWidth="1"/>
    <col min="15368" max="15612" width="7.5" style="1"/>
    <col min="15613" max="15613" width="4.5" style="1" bestFit="1" customWidth="1"/>
    <col min="15614" max="15614" width="9.5" style="1" customWidth="1"/>
    <col min="15615" max="15615" width="36.375" style="1" customWidth="1"/>
    <col min="15616" max="15616" width="8.75" style="1" customWidth="1"/>
    <col min="15617" max="15617" width="11.375" style="1" customWidth="1"/>
    <col min="15618" max="15618" width="14.5" style="1" customWidth="1"/>
    <col min="15619" max="15619" width="6.875" style="1" customWidth="1"/>
    <col min="15620" max="15620" width="6.375" style="1" customWidth="1"/>
    <col min="15621" max="15621" width="11.875" style="1" customWidth="1"/>
    <col min="15622" max="15623" width="25" style="1" customWidth="1"/>
    <col min="15624" max="15868" width="7.5" style="1"/>
    <col min="15869" max="15869" width="4.5" style="1" bestFit="1" customWidth="1"/>
    <col min="15870" max="15870" width="9.5" style="1" customWidth="1"/>
    <col min="15871" max="15871" width="36.375" style="1" customWidth="1"/>
    <col min="15872" max="15872" width="8.75" style="1" customWidth="1"/>
    <col min="15873" max="15873" width="11.375" style="1" customWidth="1"/>
    <col min="15874" max="15874" width="14.5" style="1" customWidth="1"/>
    <col min="15875" max="15875" width="6.875" style="1" customWidth="1"/>
    <col min="15876" max="15876" width="6.375" style="1" customWidth="1"/>
    <col min="15877" max="15877" width="11.875" style="1" customWidth="1"/>
    <col min="15878" max="15879" width="25" style="1" customWidth="1"/>
    <col min="15880" max="16124" width="7.5" style="1"/>
    <col min="16125" max="16125" width="4.5" style="1" bestFit="1" customWidth="1"/>
    <col min="16126" max="16126" width="9.5" style="1" customWidth="1"/>
    <col min="16127" max="16127" width="36.375" style="1" customWidth="1"/>
    <col min="16128" max="16128" width="8.75" style="1" customWidth="1"/>
    <col min="16129" max="16129" width="11.375" style="1" customWidth="1"/>
    <col min="16130" max="16130" width="14.5" style="1" customWidth="1"/>
    <col min="16131" max="16131" width="6.875" style="1" customWidth="1"/>
    <col min="16132" max="16132" width="6.375" style="1" customWidth="1"/>
    <col min="16133" max="16133" width="11.875" style="1" customWidth="1"/>
    <col min="16134" max="16135" width="25" style="1" customWidth="1"/>
    <col min="16136" max="16384" width="7.5" style="1"/>
  </cols>
  <sheetData>
    <row r="1" spans="1:10" ht="18.75">
      <c r="A1" s="593" t="s">
        <v>434</v>
      </c>
      <c r="B1" s="593"/>
      <c r="C1" s="593"/>
      <c r="D1" s="593"/>
      <c r="E1" s="593"/>
      <c r="F1" s="593"/>
      <c r="G1" s="593"/>
      <c r="H1" s="593"/>
      <c r="I1" s="593"/>
      <c r="J1" s="593"/>
    </row>
    <row r="2" spans="1:10" ht="18.75">
      <c r="A2" s="593" t="s">
        <v>435</v>
      </c>
      <c r="B2" s="593"/>
      <c r="C2" s="593"/>
      <c r="D2" s="593"/>
      <c r="E2" s="593"/>
      <c r="F2" s="593"/>
      <c r="G2" s="593"/>
      <c r="H2" s="593"/>
      <c r="I2" s="593"/>
      <c r="J2" s="593"/>
    </row>
    <row r="3" spans="1:10" ht="18.75" customHeight="1">
      <c r="J3" s="283" t="s">
        <v>408</v>
      </c>
    </row>
    <row r="4" spans="1:10" ht="15.75">
      <c r="A4" s="596" t="s">
        <v>0</v>
      </c>
      <c r="B4" s="596" t="s">
        <v>44</v>
      </c>
      <c r="C4" s="596" t="s">
        <v>244</v>
      </c>
      <c r="D4" s="621" t="s">
        <v>400</v>
      </c>
      <c r="E4" s="622"/>
      <c r="F4" s="621" t="s">
        <v>407</v>
      </c>
      <c r="G4" s="622"/>
      <c r="H4" s="594" t="s">
        <v>246</v>
      </c>
      <c r="I4" s="595"/>
      <c r="J4" s="598" t="s">
        <v>40</v>
      </c>
    </row>
    <row r="5" spans="1:10" ht="39" customHeight="1">
      <c r="A5" s="597"/>
      <c r="B5" s="597"/>
      <c r="C5" s="597"/>
      <c r="D5" s="281" t="s">
        <v>349</v>
      </c>
      <c r="E5" s="282" t="s">
        <v>350</v>
      </c>
      <c r="F5" s="281" t="s">
        <v>349</v>
      </c>
      <c r="G5" s="282" t="s">
        <v>350</v>
      </c>
      <c r="H5" s="281" t="s">
        <v>349</v>
      </c>
      <c r="I5" s="282" t="s">
        <v>350</v>
      </c>
      <c r="J5" s="599"/>
    </row>
    <row r="6" spans="1:10" ht="31.5">
      <c r="A6" s="167" t="s">
        <v>2</v>
      </c>
      <c r="B6" s="11" t="s">
        <v>66</v>
      </c>
      <c r="C6" s="12"/>
      <c r="D6" s="34"/>
      <c r="E6" s="34"/>
      <c r="F6" s="13"/>
      <c r="G6" s="13"/>
      <c r="H6" s="14"/>
      <c r="I6" s="14"/>
      <c r="J6" s="14"/>
    </row>
    <row r="7" spans="1:10" ht="115.5" customHeight="1">
      <c r="A7" s="185">
        <v>1</v>
      </c>
      <c r="B7" s="232" t="s">
        <v>143</v>
      </c>
      <c r="C7" s="267" t="s">
        <v>405</v>
      </c>
      <c r="D7" s="284">
        <f>0.232173333333333/1000</f>
        <v>2.3217333333333301E-4</v>
      </c>
      <c r="E7" s="284">
        <v>2.4000000000000001E-4</v>
      </c>
      <c r="F7" s="269">
        <v>5000000</v>
      </c>
      <c r="G7" s="269">
        <v>1636364</v>
      </c>
      <c r="H7" s="270">
        <f>D7*F7</f>
        <v>1160.866666666665</v>
      </c>
      <c r="I7" s="270">
        <f>E7*G7</f>
        <v>392.72736000000003</v>
      </c>
      <c r="J7" s="280" t="s">
        <v>726</v>
      </c>
    </row>
    <row r="8" spans="1:10" ht="31.5">
      <c r="A8" s="167" t="s">
        <v>16</v>
      </c>
      <c r="B8" s="265" t="s">
        <v>73</v>
      </c>
      <c r="C8" s="267"/>
      <c r="D8" s="268"/>
      <c r="E8" s="277"/>
      <c r="F8" s="269"/>
      <c r="G8" s="269"/>
      <c r="H8" s="270"/>
      <c r="I8" s="270"/>
      <c r="J8" s="271"/>
    </row>
    <row r="9" spans="1:10" ht="100.5" customHeight="1">
      <c r="A9" s="185">
        <v>2</v>
      </c>
      <c r="B9" s="232" t="s">
        <v>145</v>
      </c>
      <c r="C9" s="267" t="s">
        <v>146</v>
      </c>
      <c r="D9" s="277">
        <v>0.13767999999999997</v>
      </c>
      <c r="E9" s="277">
        <v>0.15</v>
      </c>
      <c r="F9" s="272">
        <f>'II.4.1. Giá đất'!F14</f>
        <v>52376.371135159854</v>
      </c>
      <c r="G9" s="272">
        <f>'II.4.1. Giá đất'!G14</f>
        <v>40640.905595778117</v>
      </c>
      <c r="H9" s="270">
        <f>D9*F9</f>
        <v>7211.1787778888074</v>
      </c>
      <c r="I9" s="270">
        <f>E9*G9</f>
        <v>6096.1358393667169</v>
      </c>
      <c r="J9" s="280" t="s">
        <v>727</v>
      </c>
    </row>
    <row r="10" spans="1:10" ht="116.25" customHeight="1">
      <c r="A10" s="185">
        <v>3</v>
      </c>
      <c r="B10" s="232" t="s">
        <v>220</v>
      </c>
      <c r="C10" s="267" t="s">
        <v>17</v>
      </c>
      <c r="D10" s="277">
        <v>2.0476800000000001E-3</v>
      </c>
      <c r="E10" s="277">
        <v>2.0600000000000002E-3</v>
      </c>
      <c r="F10" s="272">
        <f>'01.01.a.Bao gia'!I11</f>
        <v>709091</v>
      </c>
      <c r="G10" s="272">
        <f>F10</f>
        <v>709091</v>
      </c>
      <c r="H10" s="270">
        <f t="shared" ref="H10:I17" si="0">D10*F10</f>
        <v>1451.99145888</v>
      </c>
      <c r="I10" s="270">
        <f>E10*G10</f>
        <v>1460.7274600000001</v>
      </c>
      <c r="J10" s="280" t="s">
        <v>726</v>
      </c>
    </row>
    <row r="11" spans="1:10" ht="109.5" customHeight="1">
      <c r="A11" s="185">
        <v>4</v>
      </c>
      <c r="B11" s="347" t="s">
        <v>401</v>
      </c>
      <c r="C11" s="267" t="s">
        <v>17</v>
      </c>
      <c r="D11" s="277">
        <v>9.9853333333333304E-3</v>
      </c>
      <c r="E11" s="277">
        <v>1.2E-2</v>
      </c>
      <c r="F11" s="272">
        <f>'01.01.a.Bao gia'!I12</f>
        <v>590909</v>
      </c>
      <c r="G11" s="489">
        <f>650000/1.1</f>
        <v>590909.09090909082</v>
      </c>
      <c r="H11" s="270">
        <f t="shared" si="0"/>
        <v>5900.4233346666651</v>
      </c>
      <c r="I11" s="270">
        <f>E11*G11</f>
        <v>7090.9090909090901</v>
      </c>
      <c r="J11" s="280" t="s">
        <v>728</v>
      </c>
    </row>
    <row r="12" spans="1:10" ht="113.25" customHeight="1">
      <c r="A12" s="185">
        <v>5</v>
      </c>
      <c r="B12" s="232" t="s">
        <v>404</v>
      </c>
      <c r="C12" s="267" t="s">
        <v>150</v>
      </c>
      <c r="D12" s="277">
        <v>3.5000000000000003E-2</v>
      </c>
      <c r="E12" s="277">
        <v>3.5000000000000003E-2</v>
      </c>
      <c r="F12" s="272">
        <f>'01.01.a.Bao gia'!I14</f>
        <v>39352</v>
      </c>
      <c r="G12" s="272">
        <f>F12</f>
        <v>39352</v>
      </c>
      <c r="H12" s="270">
        <f t="shared" si="0"/>
        <v>1377.3200000000002</v>
      </c>
      <c r="I12" s="270">
        <f t="shared" si="0"/>
        <v>1377.3200000000002</v>
      </c>
      <c r="J12" s="280" t="s">
        <v>728</v>
      </c>
    </row>
    <row r="13" spans="1:10" ht="119.25" customHeight="1">
      <c r="A13" s="185">
        <v>6</v>
      </c>
      <c r="B13" s="232" t="s">
        <v>151</v>
      </c>
      <c r="C13" s="267" t="s">
        <v>146</v>
      </c>
      <c r="D13" s="277">
        <v>8.0000000000000004E-4</v>
      </c>
      <c r="E13" s="277">
        <v>8.0000000000000004E-4</v>
      </c>
      <c r="F13" s="272">
        <f>'01.01.a.Bao gia'!I5</f>
        <v>152000</v>
      </c>
      <c r="G13" s="272">
        <v>136636</v>
      </c>
      <c r="H13" s="270">
        <f t="shared" si="0"/>
        <v>121.60000000000001</v>
      </c>
      <c r="I13" s="270">
        <f t="shared" si="0"/>
        <v>109.30880000000001</v>
      </c>
      <c r="J13" s="280" t="s">
        <v>729</v>
      </c>
    </row>
    <row r="14" spans="1:10" ht="113.25" customHeight="1">
      <c r="A14" s="185">
        <v>7</v>
      </c>
      <c r="B14" s="232" t="s">
        <v>152</v>
      </c>
      <c r="C14" s="267" t="s">
        <v>146</v>
      </c>
      <c r="D14" s="277">
        <v>2E-3</v>
      </c>
      <c r="E14" s="277">
        <v>2E-3</v>
      </c>
      <c r="F14" s="272">
        <f>'01.01.a.Bao gia'!I7</f>
        <v>232000</v>
      </c>
      <c r="G14" s="272">
        <v>232000</v>
      </c>
      <c r="H14" s="270">
        <f t="shared" si="0"/>
        <v>464</v>
      </c>
      <c r="I14" s="270">
        <f t="shared" si="0"/>
        <v>464</v>
      </c>
      <c r="J14" s="280" t="s">
        <v>729</v>
      </c>
    </row>
    <row r="15" spans="1:10" ht="109.5" customHeight="1">
      <c r="A15" s="185">
        <v>8</v>
      </c>
      <c r="B15" s="232" t="s">
        <v>153</v>
      </c>
      <c r="C15" s="267" t="s">
        <v>146</v>
      </c>
      <c r="D15" s="277">
        <v>0.06</v>
      </c>
      <c r="E15" s="277">
        <v>0.06</v>
      </c>
      <c r="F15" s="272">
        <f>'01.01.a.Bao gia'!I10</f>
        <v>15350</v>
      </c>
      <c r="G15" s="272">
        <v>4000</v>
      </c>
      <c r="H15" s="270">
        <f t="shared" si="0"/>
        <v>921</v>
      </c>
      <c r="I15" s="270">
        <f t="shared" si="0"/>
        <v>240</v>
      </c>
      <c r="J15" s="280" t="s">
        <v>728</v>
      </c>
    </row>
    <row r="16" spans="1:10" ht="120" customHeight="1">
      <c r="A16" s="185">
        <v>9</v>
      </c>
      <c r="B16" s="347" t="s">
        <v>402</v>
      </c>
      <c r="C16" s="267" t="s">
        <v>155</v>
      </c>
      <c r="D16" s="277">
        <v>1E-3</v>
      </c>
      <c r="E16" s="277">
        <v>1E-3</v>
      </c>
      <c r="F16" s="272">
        <f>'01.01.a.Bao gia'!I8</f>
        <v>28600</v>
      </c>
      <c r="G16" s="272">
        <v>28900</v>
      </c>
      <c r="H16" s="270">
        <f t="shared" si="0"/>
        <v>28.6</v>
      </c>
      <c r="I16" s="270">
        <f t="shared" si="0"/>
        <v>28.900000000000002</v>
      </c>
      <c r="J16" s="280" t="s">
        <v>729</v>
      </c>
    </row>
    <row r="17" spans="1:10" ht="113.25" customHeight="1">
      <c r="A17" s="185">
        <v>10</v>
      </c>
      <c r="B17" s="232" t="s">
        <v>403</v>
      </c>
      <c r="C17" s="267" t="s">
        <v>155</v>
      </c>
      <c r="D17" s="277">
        <v>1.6000000000000001E-4</v>
      </c>
      <c r="E17" s="277">
        <v>1.6000000000000001E-4</v>
      </c>
      <c r="F17" s="269">
        <f>'01.01.a.Bao gia'!I9</f>
        <v>146400</v>
      </c>
      <c r="G17" s="269">
        <v>45455</v>
      </c>
      <c r="H17" s="270">
        <f t="shared" si="0"/>
        <v>23.424000000000003</v>
      </c>
      <c r="I17" s="270">
        <f t="shared" si="0"/>
        <v>7.2728000000000002</v>
      </c>
      <c r="J17" s="280" t="s">
        <v>726</v>
      </c>
    </row>
    <row r="18" spans="1:10" ht="15.75">
      <c r="A18" s="167"/>
      <c r="B18" s="79" t="s">
        <v>357</v>
      </c>
      <c r="C18" s="79"/>
      <c r="D18" s="76"/>
      <c r="E18" s="76"/>
      <c r="F18" s="77"/>
      <c r="G18" s="77"/>
      <c r="H18" s="266">
        <f>SUM(H7:H17)</f>
        <v>18660.404238102132</v>
      </c>
      <c r="I18" s="266">
        <f>SUM(I7:I17)</f>
        <v>17267.301350275808</v>
      </c>
      <c r="J18" s="14"/>
    </row>
  </sheetData>
  <mergeCells count="9">
    <mergeCell ref="A1:J1"/>
    <mergeCell ref="A2:J2"/>
    <mergeCell ref="A4:A5"/>
    <mergeCell ref="B4:B5"/>
    <mergeCell ref="C4:C5"/>
    <mergeCell ref="D4:E4"/>
    <mergeCell ref="F4:G4"/>
    <mergeCell ref="H4:I4"/>
    <mergeCell ref="J4:J5"/>
  </mergeCells>
  <printOptions horizontalCentered="1" verticalCentered="1"/>
  <pageMargins left="0.2" right="0.2" top="0.53" bottom="0.5" header="0.3" footer="0.3"/>
  <pageSetup paperSize="9" scale="90"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I10" sqref="I10"/>
    </sheetView>
  </sheetViews>
  <sheetFormatPr defaultRowHeight="14.25"/>
  <cols>
    <col min="1" max="1" width="4.875" customWidth="1"/>
    <col min="2" max="2" width="9" customWidth="1"/>
    <col min="3" max="3" width="34.375" customWidth="1"/>
    <col min="4" max="4" width="7" customWidth="1"/>
    <col min="5" max="5" width="10" customWidth="1"/>
    <col min="6" max="7" width="10.5" customWidth="1"/>
    <col min="8" max="8" width="12.375" customWidth="1"/>
    <col min="9" max="9" width="14.125" customWidth="1"/>
    <col min="10" max="10" width="19.75" customWidth="1"/>
  </cols>
  <sheetData>
    <row r="1" spans="1:10" s="497" customFormat="1" ht="18.75">
      <c r="A1" s="625" t="s">
        <v>677</v>
      </c>
      <c r="B1" s="625"/>
      <c r="C1" s="625"/>
      <c r="D1" s="625"/>
      <c r="E1" s="625"/>
      <c r="F1" s="625"/>
      <c r="G1" s="625"/>
      <c r="H1" s="625"/>
      <c r="I1" s="625"/>
      <c r="J1" s="625"/>
    </row>
    <row r="2" spans="1:10" s="497" customFormat="1" ht="18.75">
      <c r="A2" s="625" t="s">
        <v>678</v>
      </c>
      <c r="B2" s="625"/>
      <c r="C2" s="625"/>
      <c r="D2" s="625"/>
      <c r="E2" s="625"/>
      <c r="F2" s="625"/>
      <c r="G2" s="625"/>
      <c r="H2" s="625"/>
      <c r="I2" s="625"/>
      <c r="J2" s="625"/>
    </row>
    <row r="3" spans="1:10" s="497" customFormat="1" ht="18" customHeight="1">
      <c r="A3" s="628" t="s">
        <v>682</v>
      </c>
      <c r="B3" s="628"/>
      <c r="C3" s="628"/>
      <c r="D3" s="628"/>
      <c r="E3" s="628"/>
      <c r="F3" s="628"/>
      <c r="G3" s="628"/>
      <c r="H3" s="628"/>
      <c r="I3" s="628"/>
      <c r="J3" s="628"/>
    </row>
    <row r="4" spans="1:10" s="487" customFormat="1" ht="31.5" customHeight="1">
      <c r="A4" s="626" t="s">
        <v>0</v>
      </c>
      <c r="B4" s="626" t="s">
        <v>674</v>
      </c>
      <c r="C4" s="626" t="s">
        <v>675</v>
      </c>
      <c r="D4" s="626" t="s">
        <v>1</v>
      </c>
      <c r="E4" s="626" t="s">
        <v>46</v>
      </c>
      <c r="F4" s="626" t="s">
        <v>530</v>
      </c>
      <c r="G4" s="626"/>
      <c r="H4" s="626" t="s">
        <v>246</v>
      </c>
      <c r="I4" s="627"/>
      <c r="J4" s="629" t="s">
        <v>40</v>
      </c>
    </row>
    <row r="5" spans="1:10" s="487" customFormat="1" ht="31.5">
      <c r="A5" s="626"/>
      <c r="B5" s="626"/>
      <c r="C5" s="626"/>
      <c r="D5" s="626"/>
      <c r="E5" s="626"/>
      <c r="F5" s="281" t="s">
        <v>349</v>
      </c>
      <c r="G5" s="281" t="s">
        <v>350</v>
      </c>
      <c r="H5" s="281" t="s">
        <v>349</v>
      </c>
      <c r="I5" s="507" t="s">
        <v>350</v>
      </c>
      <c r="J5" s="630"/>
    </row>
    <row r="6" spans="1:10" s="487" customFormat="1" ht="99.75" customHeight="1">
      <c r="A6" s="498">
        <f>'[4]Công trình'!A7</f>
        <v>1</v>
      </c>
      <c r="B6" s="499" t="str">
        <f>'[4]Công trình'!E7</f>
        <v>AB.24132</v>
      </c>
      <c r="C6" s="500" t="str">
        <f>'[4]Công trình'!F7</f>
        <v>Đào xúc đất bằng máy đào 1,25m3, đất cấp II (Khoảng cách bãi tạm 1,4km)</v>
      </c>
      <c r="D6" s="501" t="str">
        <f>'[4]Công trình'!G7</f>
        <v>100m3</v>
      </c>
      <c r="E6" s="569">
        <f>'[4]Công trình'!P7</f>
        <v>331.358</v>
      </c>
      <c r="F6" s="501">
        <f>'[4]Chiết tính'!H$21</f>
        <v>1109215.1216492362</v>
      </c>
      <c r="G6" s="501">
        <f>'II.4.2. Chi tiết giá đất'!J21</f>
        <v>868290.91300000018</v>
      </c>
      <c r="H6" s="501">
        <f>$E$6*F6</f>
        <v>367547304.27944762</v>
      </c>
      <c r="I6" s="508">
        <f>$E$6*G6</f>
        <v>287715140.34985405</v>
      </c>
      <c r="J6" s="623" t="s">
        <v>730</v>
      </c>
    </row>
    <row r="7" spans="1:10" s="487" customFormat="1" ht="31.5">
      <c r="A7" s="498">
        <f>'[4]Công trình'!A8</f>
        <v>2</v>
      </c>
      <c r="B7" s="499" t="str">
        <f>'[4]Công trình'!E8</f>
        <v>AB.41432</v>
      </c>
      <c r="C7" s="500" t="str">
        <f>'[4]Công trình'!F8</f>
        <v>Vận chuyển đất bằng ôtô tự đổ 10 tấn trong phạm vi &lt;= 1000m, đất cấp II</v>
      </c>
      <c r="D7" s="501" t="str">
        <f>'[4]Công trình'!G8</f>
        <v>100m3</v>
      </c>
      <c r="E7" s="569">
        <f>'[4]Công trình'!P8</f>
        <v>331.358</v>
      </c>
      <c r="F7" s="501">
        <f>'[4]Chiết tính'!H$34</f>
        <v>2014688.108651639</v>
      </c>
      <c r="G7" s="501">
        <f>'II.4.2. Chi tiết giá đất'!J34</f>
        <v>1559564.298</v>
      </c>
      <c r="H7" s="501">
        <f t="shared" ref="H7:I8" si="0">$E$6*F7</f>
        <v>667583022.30658984</v>
      </c>
      <c r="I7" s="508">
        <f t="shared" si="0"/>
        <v>516774106.65668398</v>
      </c>
      <c r="J7" s="624"/>
    </row>
    <row r="8" spans="1:10" s="487" customFormat="1" ht="31.5">
      <c r="A8" s="498">
        <f>'[4]Công trình'!A9</f>
        <v>3</v>
      </c>
      <c r="B8" s="499" t="str">
        <f>'[4]Công trình'!E9</f>
        <v>AB.42132</v>
      </c>
      <c r="C8" s="500" t="str">
        <f>'[4]Công trình'!F9</f>
        <v>Vận chuyển đất bằng ô tô tự đổ 10T 1km tiếp theo trong phạm vi 0,4km, đất cấp II</v>
      </c>
      <c r="D8" s="501" t="str">
        <f>'[4]Công trình'!G9</f>
        <v>100m3</v>
      </c>
      <c r="E8" s="569">
        <f>'[4]Công trình'!P9</f>
        <v>331.358</v>
      </c>
      <c r="F8" s="501">
        <f>'[4]Chiết tính'!H$47</f>
        <v>308097.94743489299</v>
      </c>
      <c r="G8" s="501">
        <f>'II.4.2. Chi tiết giá đất'!J47</f>
        <v>238497.73919999998</v>
      </c>
      <c r="H8" s="501">
        <f t="shared" si="0"/>
        <v>102090719.66613127</v>
      </c>
      <c r="I8" s="508">
        <f t="shared" si="0"/>
        <v>79028133.865833595</v>
      </c>
      <c r="J8" s="624"/>
    </row>
    <row r="9" spans="1:10" s="487" customFormat="1" ht="31.5">
      <c r="A9" s="498">
        <f>'[4]Công trình'!A10</f>
        <v>4</v>
      </c>
      <c r="B9" s="499" t="str">
        <f>'[4]Công trình'!E10</f>
        <v>AB.24132</v>
      </c>
      <c r="C9" s="500" t="str">
        <f>'[4]Công trình'!F10</f>
        <v>Đào xúc đất bằng máy đào 1,25m3, đất cấp II (Khoảng cách bãi tạm 5,3km)</v>
      </c>
      <c r="D9" s="501" t="str">
        <f>'[4]Công trình'!G10</f>
        <v>100m3</v>
      </c>
      <c r="E9" s="569">
        <f>'[4]Công trình'!P10</f>
        <v>519.0376647999999</v>
      </c>
      <c r="F9" s="501">
        <f>'[4]Chiết tính'!H$64</f>
        <v>1109215.1216492362</v>
      </c>
      <c r="G9" s="501">
        <f>'II.4.2. Chi tiết giá đất'!J63</f>
        <v>868290.91300000018</v>
      </c>
      <c r="H9" s="501">
        <f>$E$9*F9</f>
        <v>575724426.50166738</v>
      </c>
      <c r="I9" s="508">
        <f>$E$9*G9</f>
        <v>450675687.85057998</v>
      </c>
      <c r="J9" s="624"/>
    </row>
    <row r="10" spans="1:10" s="487" customFormat="1" ht="31.5">
      <c r="A10" s="498">
        <f>'[4]Công trình'!A11</f>
        <v>5</v>
      </c>
      <c r="B10" s="499" t="str">
        <f>'[4]Công trình'!E11</f>
        <v>AB.41432</v>
      </c>
      <c r="C10" s="500" t="str">
        <f>'[4]Công trình'!F11</f>
        <v>Vận chuyển đất bằng ôtô tự đổ 10 tấn trong phạm vi &lt;= 1000m, đất cấp II</v>
      </c>
      <c r="D10" s="501" t="str">
        <f>'[4]Công trình'!G11</f>
        <v>100m3</v>
      </c>
      <c r="E10" s="569">
        <f>'[4]Công trình'!P11</f>
        <v>519.0376647999999</v>
      </c>
      <c r="F10" s="501">
        <f>'[4]Chiết tính'!H$77</f>
        <v>2014688.108651639</v>
      </c>
      <c r="G10" s="501">
        <f>'II.4.2. Chi tiết giá đất'!J76</f>
        <v>1559564.298</v>
      </c>
      <c r="H10" s="501">
        <f t="shared" ref="H10:I12" si="1">$E$9*F10</f>
        <v>1045699011.2148752</v>
      </c>
      <c r="I10" s="508">
        <f t="shared" si="1"/>
        <v>809472611.33937109</v>
      </c>
      <c r="J10" s="624"/>
    </row>
    <row r="11" spans="1:10" s="487" customFormat="1" ht="31.5">
      <c r="A11" s="498">
        <f>'[4]Công trình'!A12</f>
        <v>6</v>
      </c>
      <c r="B11" s="499" t="str">
        <f>'[4]Công trình'!E12</f>
        <v>AB.42132</v>
      </c>
      <c r="C11" s="500" t="str">
        <f>'[4]Công trình'!F12</f>
        <v>Vận chuyển đất bằng ô tô tự đổ 10T 4km tiếp theo trong phạm vi &lt;= 5km, đất cấp II</v>
      </c>
      <c r="D11" s="501" t="str">
        <f>'[4]Công trình'!G12</f>
        <v>100m3</v>
      </c>
      <c r="E11" s="569">
        <f>'[4]Công trình'!P12</f>
        <v>519.0376647999999</v>
      </c>
      <c r="F11" s="501">
        <f>'[4]Chiết tính'!H$90</f>
        <v>3080979.4743489302</v>
      </c>
      <c r="G11" s="501">
        <f>'II.4.2. Chi tiết giá đất'!J89</f>
        <v>2384977.392</v>
      </c>
      <c r="H11" s="501">
        <f t="shared" si="1"/>
        <v>1599144391.6627998</v>
      </c>
      <c r="I11" s="508">
        <f t="shared" si="1"/>
        <v>1237893096.144474</v>
      </c>
      <c r="J11" s="624"/>
    </row>
    <row r="12" spans="1:10" s="487" customFormat="1" ht="34.5" customHeight="1">
      <c r="A12" s="575">
        <v>7</v>
      </c>
      <c r="B12" s="576" t="str">
        <f>+'[4]Công trình'!E13</f>
        <v>AB.42232</v>
      </c>
      <c r="C12" s="577" t="str">
        <f>+'[4]Công trình'!F13</f>
        <v>Vận chuyển đất bằng ô tô tự đổ 10T 0,3km tiếp theo ngoài phạm vi 5km, đất cấp II</v>
      </c>
      <c r="D12" s="578" t="str">
        <f>'[4]Công trình'!G13</f>
        <v>100m3</v>
      </c>
      <c r="E12" s="579">
        <f>'[4]Công trình'!P13</f>
        <v>519.0376647999999</v>
      </c>
      <c r="F12" s="578">
        <f>+'[4]Chiết tính'!H103</f>
        <v>185487.53978223147</v>
      </c>
      <c r="G12" s="578">
        <f>'II.4.2. Chi tiết giá đất'!J102</f>
        <v>143585.37359999996</v>
      </c>
      <c r="H12" s="578">
        <f t="shared" si="1"/>
        <v>96275019.4980665</v>
      </c>
      <c r="I12" s="580">
        <f t="shared" si="1"/>
        <v>74526217.012779534</v>
      </c>
      <c r="J12" s="624"/>
    </row>
    <row r="13" spans="1:10" s="487" customFormat="1" ht="31.5">
      <c r="A13" s="581"/>
      <c r="B13" s="581"/>
      <c r="C13" s="571" t="s">
        <v>679</v>
      </c>
      <c r="D13" s="571" t="s">
        <v>681</v>
      </c>
      <c r="E13" s="503">
        <f>E6+E9</f>
        <v>850.39566479999985</v>
      </c>
      <c r="F13" s="505">
        <f>H13/E13</f>
        <v>5237637.1135159852</v>
      </c>
      <c r="G13" s="505">
        <f>I13/E13</f>
        <v>4064090.5595778115</v>
      </c>
      <c r="H13" s="505">
        <f>SUM(H6:H12)</f>
        <v>4454063895.1295786</v>
      </c>
      <c r="I13" s="505">
        <f>SUM(I6:I12)</f>
        <v>3456084993.2195764</v>
      </c>
      <c r="J13" s="510"/>
    </row>
    <row r="14" spans="1:10" s="487" customFormat="1" ht="15.75">
      <c r="A14" s="502"/>
      <c r="B14" s="502"/>
      <c r="C14" s="506" t="s">
        <v>680</v>
      </c>
      <c r="D14" s="502" t="s">
        <v>676</v>
      </c>
      <c r="E14" s="503"/>
      <c r="F14" s="504">
        <f>F13/100</f>
        <v>52376.371135159854</v>
      </c>
      <c r="G14" s="504">
        <f>G13/100</f>
        <v>40640.905595778117</v>
      </c>
      <c r="H14" s="505"/>
      <c r="I14" s="509"/>
      <c r="J14" s="510"/>
    </row>
    <row r="15" spans="1:10" s="487" customFormat="1"/>
  </sheetData>
  <mergeCells count="12">
    <mergeCell ref="J6:J12"/>
    <mergeCell ref="A1:J1"/>
    <mergeCell ref="A2:J2"/>
    <mergeCell ref="F4:G4"/>
    <mergeCell ref="H4:I4"/>
    <mergeCell ref="E4:E5"/>
    <mergeCell ref="D4:D5"/>
    <mergeCell ref="C4:C5"/>
    <mergeCell ref="B4:B5"/>
    <mergeCell ref="A4:A5"/>
    <mergeCell ref="A3:J3"/>
    <mergeCell ref="J4:J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18</vt:i4>
      </vt:variant>
    </vt:vector>
  </HeadingPairs>
  <TitlesOfParts>
    <vt:vector size="52" baseType="lpstr">
      <vt:lpstr>I. Tong chi phi</vt:lpstr>
      <vt:lpstr>Bang 01. VL</vt:lpstr>
      <vt:lpstr>I.2 CP KH</vt:lpstr>
      <vt:lpstr>II.1 Vat tu</vt:lpstr>
      <vt:lpstr>01.01.a.Bao gia</vt:lpstr>
      <vt:lpstr>II.2 DCLD</vt:lpstr>
      <vt:lpstr>II.3 ĐG DC</vt:lpstr>
      <vt:lpstr>II.4 Vat lieu</vt:lpstr>
      <vt:lpstr>II.4.1. Giá đất</vt:lpstr>
      <vt:lpstr>II.4.2. Chi tiết giá đất</vt:lpstr>
      <vt:lpstr>II.5 NL</vt:lpstr>
      <vt:lpstr>II.6 ĐG NL</vt:lpstr>
      <vt:lpstr>II.7 NLIEU</vt:lpstr>
      <vt:lpstr>III. NC</vt:lpstr>
      <vt:lpstr>IV. ĐG NC</vt:lpstr>
      <vt:lpstr>V. May</vt:lpstr>
      <vt:lpstr>VI. ĐG May </vt:lpstr>
      <vt:lpstr>VII.1 Chi phí SXC</vt:lpstr>
      <vt:lpstr>SS</vt:lpstr>
      <vt:lpstr>VII.2 Chi phí sxc theo TT 17</vt:lpstr>
      <vt:lpstr>VIII.KL rác hoc 6 năm 2024</vt:lpstr>
      <vt:lpstr>VIII.KL rác hoc 7</vt:lpstr>
      <vt:lpstr>X. Lợi nhuận</vt:lpstr>
      <vt:lpstr>IX.KH máy</vt:lpstr>
      <vt:lpstr>X.DG KH may</vt:lpstr>
      <vt:lpstr>XI.Khau hao ts</vt:lpstr>
      <vt:lpstr>XII. Bang tinh KH</vt:lpstr>
      <vt:lpstr>Danh muc DM</vt:lpstr>
      <vt:lpstr>bang46</vt:lpstr>
      <vt:lpstr>bang47</vt:lpstr>
      <vt:lpstr>bang48</vt:lpstr>
      <vt:lpstr>bang49</vt:lpstr>
      <vt:lpstr>bang50</vt:lpstr>
      <vt:lpstr>bang51</vt:lpstr>
      <vt:lpstr>bang46!dieu_1_12</vt:lpstr>
      <vt:lpstr>'Danh muc DM'!dieu_1_15</vt:lpstr>
      <vt:lpstr>bang48!dieu_3_12</vt:lpstr>
      <vt:lpstr>bang49!dieu_4_9</vt:lpstr>
      <vt:lpstr>bang50!dieu_5_9</vt:lpstr>
      <vt:lpstr>bang51!dieu_6_4</vt:lpstr>
      <vt:lpstr>'Danh muc DM'!muc_2_3</vt:lpstr>
      <vt:lpstr>'Danh muc DM'!muc_5_3</vt:lpstr>
      <vt:lpstr>'II.1 Vat tu'!Print_Area</vt:lpstr>
      <vt:lpstr>'II.4 Vat lieu'!Print_Area</vt:lpstr>
      <vt:lpstr>'IV. ĐG NC'!Print_Area</vt:lpstr>
      <vt:lpstr>'Danh muc DM'!tvpllink_fdsadpmwfm</vt:lpstr>
      <vt:lpstr>'Danh muc DM'!tvpllink_fdsadpmwfm_1</vt:lpstr>
      <vt:lpstr>'Danh muc DM'!tvpllink_fdsadpmwfm_2</vt:lpstr>
      <vt:lpstr>'Danh muc DM'!tvpllink_fdsadpmwfm_3</vt:lpstr>
      <vt:lpstr>'Danh muc DM'!tvpllink_fdsadpmwfm_4</vt:lpstr>
      <vt:lpstr>'Danh muc DM'!tvpllink_fdsadpmwfm_5</vt:lpstr>
      <vt:lpstr>'Danh muc DM'!tvpllink_fdsadpmwfm_6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Vip1086</dc:creator>
  <cp:lastModifiedBy>admin</cp:lastModifiedBy>
  <cp:lastPrinted>2025-11-10T04:16:51Z</cp:lastPrinted>
  <dcterms:created xsi:type="dcterms:W3CDTF">2025-07-16T01:38:29Z</dcterms:created>
  <dcterms:modified xsi:type="dcterms:W3CDTF">2026-02-02T07:12:59Z</dcterms:modified>
</cp:coreProperties>
</file>